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5"/>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<sst xmlns="http://schemas.openxmlformats.org/spreadsheetml/2006/main" count="3661" uniqueCount="2962">
  <si>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</si>
  <si>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</si>
  <si>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</si>
  <si>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</si>
  <si>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</si>
  <si>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</si>
  <si>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</si>
  <si>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</si>
  <si>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</si>
  <si>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</si>
  <si>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</si>
  <si>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</si>
  <si>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</si>
  <si>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</si>
  <si>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</si>
  <si>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</si>
  <si>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</si>
  <si>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</si>
  <si>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</si>
  <si>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</si>
  <si>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</si>
  <si>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</si>
  <si>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</si>
  <si>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</si>
  <si>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</si>
  <si>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</si>
  <si>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</si>
  <si>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</si>
  <si>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</si>
  <si>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</si>
  <si>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</si>
  <si>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</si>
  <si>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</si>
  <si>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</si>
  <si>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</si>
  <si>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</si>
  <si>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</si>
  <si>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</si>
  <si>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</si>
  <si>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</si>
  <si>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</si>
  <si>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</si>
  <si>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</si>
  <si>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</si>
  <si>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</si>
  <si>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</si>
  <si>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</si>
  <si>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</si>
  <si>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</si>
  <si>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</si>
  <si>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</si>
  <si>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</si>
  <si>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</si>
  <si>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</si>
  <si>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</si>
  <si>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</si>
  <si>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</si>
  <si>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</si>
  <si>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</si>
  <si>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</si>
  <si>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</si>
  <si>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</si>
  <si>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</si>
  <si>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</si>
  <si>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</si>
  <si>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</si>
  <si>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</si>
  <si>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</si>
  <si>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</si>
  <si>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</si>
  <si>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</si>
  <si>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</si>
  <si>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</si>
  <si>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</si>
  <si>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</si>
  <si>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</si>
  <si>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</si>
  <si>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</si>
  <si>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</si>
  <si>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</si>
  <si>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</si>
  <si>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</si>
  <si>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</si>
  <si>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</si>
  <si>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</si>
  <si>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</si>
  <si>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</si>
  <si>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</si>
  <si>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</si>
  <si>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</si>
  <si>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</si>
  <si>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</si>
  <si>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</si>
  <si>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</si>
  <si>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</si>
  <si>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</si>
  <si>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</si>
  <si>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</si>
  <si>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</si>
  <si>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</si>
  <si>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</si>
  <si>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</si>
  <si>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</si>
  <si>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</si>
  <si>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</si>
  <si>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</si>
  <si>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</si>
  <si>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</si>
  <si>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</si>
  <si>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</si>
  <si>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</si>
  <si>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</si>
  <si>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</si>
  <si>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</si>
  <si>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</si>
  <si>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</si>
  <si>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</si>
  <si>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</si>
  <si>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</si>
  <si>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</si>
  <si>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</si>
  <si>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</si>
  <si>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</si>
  <si>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</si>
  <si>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</si>
  <si>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</si>
  <si>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</si>
  <si>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</si>
  <si>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</si>
  <si>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</si>
  <si>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</si>
  <si>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</si>
  <si>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</si>
  <si>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</si>
  <si>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</si>
  <si>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</si>
  <si>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</si>
  <si>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</si>
  <si>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</si>
  <si>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</si>
  <si>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</si>
  <si>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</si>
  <si>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</si>
  <si>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</si>
  <si>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</si>
  <si>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</si>
  <si>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</si>
  <si>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</si>
  <si>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</si>
  <si>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</si>
  <si>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</si>
  <si>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</si>
  <si>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</si>
  <si>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</si>
  <si>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</si>
  <si>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</si>
  <si>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</si>
  <si>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</si>
  <si>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</si>
  <si>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</si>
  <si>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</si>
  <si>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</si>
  <si>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</si>
  <si>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</si>
  <si>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</si>
  <si>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</si>
  <si>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</si>
  <si>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</si>
  <si>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</si>
  <si>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</si>
  <si>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</si>
  <si>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</si>
  <si>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</si>
  <si>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</si>
  <si>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</si>
  <si>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</si>
  <si>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</si>
  <si>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</si>
  <si>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</si>
  <si>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</si>
  <si>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</si>
  <si>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</si>
  <si>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</si>
  <si>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</si>
  <si>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</si>
  <si>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</si>
  <si>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</si>
  <si>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</si>
  <si>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</si>
  <si>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</si>
  <si>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</si>
  <si>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</si>
  <si>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</si>
  <si>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</si>
  <si>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</si>
  <si>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</si>
  <si>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</si>
  <si>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</si>
  <si>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</si>
  <si>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</si>
  <si>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</si>
  <si>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</si>
  <si>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</si>
  <si>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</si>
  <si>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</si>
  <si>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</si>
  <si>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</si>
  <si>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</si>
  <si>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</si>
  <si>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</si>
  <si>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</si>
  <si>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</si>
  <si>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</si>
  <si>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</si>
  <si>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</si>
  <si>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</si>
  <si>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</si>
  <si>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</si>
  <si>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</si>
  <si>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</si>
  <si>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</si>
  <si>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</si>
  <si>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</si>
  <si>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</si>
  <si>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</si>
  <si>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</si>
  <si>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</si>
  <si>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</si>
  <si>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</si>
  <si>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</si>
  <si>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</si>
  <si>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</si>
  <si>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</si>
  <si>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</si>
  <si>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</si>
  <si>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</si>
  <si>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</si>
  <si>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</si>
  <si>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</si>
  <si>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</si>
  <si>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</si>
  <si>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</si>
  <si>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</si>
  <si>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</si>
  <si>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</si>
  <si>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</si>
  <si>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</si>
  <si>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</si>
  <si>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</si>
  <si>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</si>
  <si>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</si>
  <si>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</si>
  <si>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</si>
  <si>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</si>
  <si>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</si>
  <si>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</si>
  <si>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</si>
  <si>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</si>
  <si>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</si>
  <si>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</si>
  <si>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</si>
  <si>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</si>
  <si>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</si>
  <si>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</si>
  <si>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</si>
  <si>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</si>
  <si>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</si>
  <si>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</si>
  <si>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</si>
  <si>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</si>
  <si>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</si>
  <si>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</si>
  <si>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</si>
  <si>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</si>
  <si>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</si>
  <si>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</si>
  <si>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</si>
  <si>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</si>
  <si>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</si>
  <si>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</si>
  <si>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</si>
  <si>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</si>
  <si>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</si>
  <si>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</si>
  <si>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</si>
  <si>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</si>
  <si>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</si>
  <si>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</si>
  <si>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</si>
  <si>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</si>
  <si>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</si>
  <si>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</si>
  <si>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</si>
  <si>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</si>
  <si>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</si>
  <si>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</si>
  <si>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</si>
  <si>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</si>
  <si>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</si>
  <si>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</si>
  <si>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</si>
  <si>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</si>
  <si>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</si>
  <si>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</si>
  <si>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</si>
  <si>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</si>
  <si>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</si>
  <si>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</si>
  <si>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</si>
  <si>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</si>
  <si>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</si>
  <si>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</si>
  <si>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</si>
  <si>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</si>
  <si>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</si>
  <si>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</si>
  <si>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</si>
  <si>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</si>
  <si>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</si>
  <si>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</si>
  <si>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</si>
  <si>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</si>
  <si>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</si>
  <si>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</si>
  <si>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</si>
  <si>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</si>
  <si>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</si>
  <si>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</si>
  <si>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</si>
  <si>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</si>
  <si>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</si>
  <si>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</si>
  <si>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</si>
  <si>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</si>
  <si>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</si>
  <si>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</si>
  <si>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</si>
  <si>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</si>
  <si>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</si>
  <si>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</si>
  <si>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</si>
  <si>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</si>
  <si>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</si>
  <si>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</si>
  <si>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</si>
  <si>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</si>
  <si>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</si>
  <si>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</si>
  <si>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</si>
  <si>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</si>
  <si>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</si>
  <si>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</si>
  <si>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</si>
  <si>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</si>
  <si>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</si>
  <si>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</si>
  <si>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</si>
  <si>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</si>
  <si>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</si>
  <si>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</si>
  <si>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</si>
  <si>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</si>
  <si>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</si>
  <si>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</si>
  <si>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</si>
  <si>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</si>
  <si>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</si>
  <si>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</si>
  <si>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</si>
  <si>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</si>
  <si>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</si>
  <si>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</si>
  <si>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</si>
  <si>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</si>
  <si>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</si>
  <si>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</si>
  <si>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</si>
  <si>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</si>
  <si>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</si>
  <si>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</si>
  <si>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</si>
  <si>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</si>
  <si>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</si>
  <si>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</si>
  <si>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</si>
  <si>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</si>
  <si>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</si>
  <si>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</si>
  <si>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</si>
  <si>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</si>
  <si>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</si>
  <si>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</si>
  <si>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</si>
  <si>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</si>
  <si>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</si>
  <si>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</si>
  <si>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</si>
  <si>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</si>
  <si>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</si>
  <si>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</si>
  <si>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</si>
  <si>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</si>
  <si>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</si>
  <si>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</si>
  <si>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</si>
  <si>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</si>
  <si>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</si>
  <si>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</si>
  <si>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</si>
  <si>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</si>
  <si>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</si>
  <si>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</si>
  <si>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</si>
  <si>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</si>
  <si>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</si>
  <si>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</si>
  <si>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</si>
  <si>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</si>
  <si>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</si>
  <si>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</si>
  <si>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</si>
  <si>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</si>
  <si>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</si>
  <si>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</si>
  <si>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</si>
  <si>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</si>
  <si>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</si>
  <si>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</si>
  <si>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</si>
  <si>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</si>
  <si>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</si>
  <si>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</si>
  <si>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</si>
  <si>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</si>
  <si>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</si>
  <si>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</si>
  <si>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</si>
  <si>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</si>
  <si>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</si>
  <si>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</si>
  <si>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</si>
  <si>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</si>
  <si>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</si>
  <si>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</si>
  <si>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</si>
  <si>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</si>
  <si>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</si>
  <si>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</si>
  <si>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</si>
  <si>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</si>
  <si>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</si>
  <si>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</si>
  <si>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</si>
  <si>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</si>
  <si>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</si>
  <si>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</si>
  <si>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</si>
  <si>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</si>
  <si>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</si>
  <si>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</si>
  <si>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</si>
  <si>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</si>
  <si>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</si>
  <si>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</si>
  <si>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</si>
  <si>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</si>
  <si>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</si>
  <si>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</si>
  <si>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</si>
  <si>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</si>
  <si>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</si>
  <si>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</si>
  <si>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</si>
  <si>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</si>
  <si>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</si>
  <si>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</si>
  <si>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</si>
  <si>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</si>
  <si>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</si>
  <si>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</si>
  <si>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</si>
  <si>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</si>
  <si>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</si>
  <si>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</si>
  <si>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</si>
  <si>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</si>
  <si>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</si>
  <si>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</si>
  <si>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</si>
  <si>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</si>
  <si>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</si>
  <si>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</si>
  <si>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</si>
  <si>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</si>
  <si>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</si>
  <si>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</si>
  <si>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</si>
  <si>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</si>
  <si>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</si>
  <si>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</si>
  <si>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</si>
  <si>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</si>
  <si>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</si>
  <si>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</si>
  <si>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</si>
  <si>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</si>
  <si>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</si>
  <si>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</si>
  <si>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</si>
  <si>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</si>
  <si>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</si>
  <si>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</si>
  <si>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</si>
  <si>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</si>
  <si>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</si>
  <si>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</si>
  <si>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</si>
  <si>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</si>
  <si>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</si>
  <si>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</si>
  <si>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</si>
  <si>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</si>
  <si>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</si>
  <si>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</si>
  <si>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</si>
  <si>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</si>
  <si>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</si>
  <si>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</si>
  <si>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</si>
  <si>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</si>
  <si>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</si>
  <si>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</si>
  <si>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</si>
  <si>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</si>
  <si>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</si>
  <si>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</si>
  <si>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</si>
  <si>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</si>
  <si>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</si>
  <si>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</si>
  <si>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</si>
  <si>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</si>
  <si>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</si>
  <si>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</si>
  <si>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</si>
  <si>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</si>
  <si>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</si>
  <si>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</si>
  <si>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</si>
  <si>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</si>
  <si>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</si>
  <si>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</si>
  <si>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</si>
  <si>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</si>
  <si>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</si>
  <si>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</si>
  <si>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</si>
  <si>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</si>
  <si>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</si>
  <si>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</si>
  <si>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</si>
  <si>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</si>
  <si>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</si>
  <si>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</si>
  <si>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</si>
  <si>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</si>
  <si>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</si>
  <si>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</si>
  <si>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</si>
  <si>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</si>
  <si>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</si>
  <si>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</si>
  <si>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</si>
  <si>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</si>
  <si>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</si>
  <si>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</si>
  <si>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</si>
  <si>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</si>
  <si>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</si>
  <si>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</si>
  <si>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</si>
  <si>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</si>
  <si>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</si>
  <si>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</si>
  <si>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</si>
  <si>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</si>
  <si>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</si>
  <si>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</si>
  <si>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</si>
  <si>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</si>
  <si>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</si>
  <si>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</si>
  <si>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</si>
  <si>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</si>
  <si>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</si>
  <si>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</si>
  <si>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</si>
  <si>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</si>
  <si>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</si>
  <si>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</si>
  <si>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</si>
  <si>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</si>
  <si>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</si>
  <si>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</si>
  <si>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</si>
  <si>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</si>
  <si>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</si>
  <si>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</si>
  <si>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</si>
  <si>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</si>
  <si>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</si>
  <si>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</si>
  <si>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</si>
  <si>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</si>
  <si>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</si>
  <si>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</si>
  <si>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</si>
  <si>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</si>
  <si>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</si>
  <si>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</si>
  <si>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</si>
  <si>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</si>
  <si>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</si>
  <si>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</si>
  <si>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</si>
  <si>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</si>
  <si>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</si>
  <si>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</si>
  <si>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</si>
  <si>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</si>
  <si>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</si>
  <si>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</si>
  <si>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</si>
  <si>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</si>
  <si>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</si>
  <si>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</si>
  <si>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</si>
  <si>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</si>
  <si>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</si>
  <si>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</si>
  <si>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</si>
  <si>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</si>
  <si>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</si>
  <si>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</si>
  <si>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</si>
  <si>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</si>
  <si>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</si>
  <si>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</si>
  <si>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</si>
  <si>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</si>
  <si>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</si>
  <si>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</si>
  <si>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</si>
  <si>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</si>
  <si>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</si>
  <si>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</si>
  <si>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</si>
  <si>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</si>
  <si>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</si>
  <si>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</si>
  <si>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</si>
  <si>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</si>
  <si>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</si>
  <si>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</si>
  <si>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</si>
  <si>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</si>
  <si>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</si>
  <si>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</si>
  <si>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</si>
  <si>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</si>
  <si>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</si>
  <si>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</si>
  <si>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</si>
  <si>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</si>
  <si>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</si>
  <si>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</si>
  <si>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</si>
  <si>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</si>
  <si>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</si>
  <si>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</si>
  <si>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</si>
  <si>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</si>
  <si>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</si>
  <si>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</si>
  <si>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</si>
  <si>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</si>
  <si>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</si>
  <si>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</si>
  <si>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</si>
  <si>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</si>
  <si>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</si>
  <si>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</si>
  <si>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</si>
  <si>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</si>
  <si>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</si>
  <si>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</si>
  <si>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</si>
  <si>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</si>
  <si>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</si>
  <si>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</si>
  <si>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</si>
  <si>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</si>
  <si>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</si>
  <si>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</si>
  <si>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</si>
  <si>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</si>
  <si>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</si>
  <si>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</si>
  <si>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</si>
  <si>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</si>
  <si>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</si>
  <si>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</si>
  <si>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</si>
  <si>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</si>
  <si>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</si>
  <si>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</si>
  <si>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</si>
  <si>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</si>
  <si>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</si>
  <si>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</si>
  <si>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</si>
  <si>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</si>
  <si>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</si>
  <si>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</si>
  <si>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</si>
  <si>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</si>
  <si>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</si>
  <si>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</si>
  <si>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</si>
  <si>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</si>
  <si>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</si>
  <si>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</si>
  <si>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</si>
  <si>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</si>
  <si>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</si>
  <si>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</si>
  <si>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</si>
  <si>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</si>
  <si>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</si>
  <si>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</si>
  <si>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</si>
  <si>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</si>
  <si>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</si>
  <si>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</si>
  <si>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</si>
  <si>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</si>
  <si>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</si>
  <si>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</si>
  <si>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</si>
  <si>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</si>
  <si>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</si>
  <si>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</si>
  <si>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</si>
  <si>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</si>
  <si>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</si>
  <si>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</si>
  <si>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</si>
  <si>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</si>
  <si>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</si>
  <si>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</si>
  <si>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</si>
  <si>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</si>
  <si>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</si>
  <si>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</si>
  <si>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</si>
  <si>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</si>
  <si>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</si>
  <si>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</si>
  <si>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</si>
  <si>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</si>
  <si>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</si>
  <si>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</si>
  <si>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</si>
  <si>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</si>
  <si>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</si>
  <si>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</si>
  <si>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</si>
  <si>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</si>
  <si>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</si>
  <si>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</si>
  <si>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</si>
  <si>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</si>
  <si>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</si>
  <si>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</si>
  <si>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</si>
  <si>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</si>
  <si>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</si>
  <si>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</si>
  <si>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</si>
  <si>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</si>
  <si>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</si>
  <si>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</si>
  <si>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</si>
  <si>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</si>
  <si>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</si>
  <si>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</si>
  <si>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</si>
  <si>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</si>
  <si>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</si>
  <si>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</si>
  <si>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</si>
  <si>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</si>
  <si>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</si>
  <si>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</si>
  <si>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</si>
  <si>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</si>
  <si>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</si>
  <si>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</si>
  <si>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</si>
  <si>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</si>
  <si>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</si>
  <si>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</si>
  <si>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</si>
  <si>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</si>
  <si>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</si>
  <si>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</si>
  <si>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</si>
  <si>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</si>
  <si>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</si>
  <si>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</si>
  <si>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</si>
  <si>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</si>
  <si>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</si>
  <si>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</si>
  <si>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</si>
  <si>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</si>
  <si>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</si>
  <si>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</si>
  <si>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</si>
  <si>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</si>
  <si>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</si>
  <si>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</si>
  <si>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</si>
  <si>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</si>
  <si>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</si>
  <si>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</si>
  <si>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</si>
  <si>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</si>
  <si>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</si>
  <si>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</si>
  <si>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</si>
  <si>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</si>
  <si>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</si>
  <si>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</si>
  <si>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</si>
  <si>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</si>
  <si>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</si>
  <si>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</si>
  <si>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</si>
  <si>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</si>
  <si>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</si>
  <si>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</si>
  <si>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</si>
  <si>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</si>
  <si>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</si>
  <si>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</si>
  <si>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</si>
  <si>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</si>
  <si>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</si>
  <si>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</si>
  <si>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</si>
  <si>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</si>
  <si>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</si>
  <si>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</si>
  <si>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</si>
  <si>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</si>
  <si>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</si>
  <si>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</si>
  <si>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</si>
  <si>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</si>
  <si>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</si>
  <si>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</si>
  <si>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</si>
  <si>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</si>
  <si>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</si>
  <si>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</si>
  <si>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</si>
  <si>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</si>
  <si>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</si>
  <si>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</si>
  <si>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</si>
  <si>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</si>
  <si>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</si>
  <si>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</si>
  <si>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</si>
  <si>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</si>
  <si>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</si>
  <si>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</si>
  <si>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</si>
  <si>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</si>
  <si>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</si>
  <si>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</si>
  <si>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</si>
  <si>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</si>
  <si>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</si>
  <si>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</si>
  <si>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</si>
  <si>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</si>
  <si>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</si>
  <si>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</si>
  <si>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</si>
  <si>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</si>
  <si>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</si>
  <si>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</si>
  <si>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</si>
  <si>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</si>
  <si>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</si>
  <si>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</si>
  <si>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</si>
  <si>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</si>
  <si>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</si>
  <si>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</si>
  <si>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</si>
  <si>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</si>
  <si>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</si>
  <si>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</si>
  <si>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</si>
  <si>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</si>
  <si>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</si>
  <si>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</si>
  <si>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</si>
  <si>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</si>
  <si>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</si>
  <si>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</si>
  <si>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</si>
  <si>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</si>
  <si>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</si>
  <si>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</si>
  <si>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</si>
  <si>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</si>
  <si>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</si>
  <si>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</si>
  <si>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</si>
  <si>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</si>
  <si>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</si>
  <si>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</si>
  <si>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</si>
  <si>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</si>
  <si>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</si>
  <si>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</si>
  <si>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</si>
  <si>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</si>
  <si>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</si>
  <si>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</si>
  <si>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</si>
  <si>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</si>
  <si>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</si>
  <si>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</si>
  <si>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</si>
  <si>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</si>
  <si>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</si>
  <si>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</si>
  <si>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</si>
  <si>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</si>
  <si>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</si>
  <si>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</si>
  <si>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</si>
  <si>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</si>
  <si>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</si>
  <si>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</si>
  <si>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</si>
  <si>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</si>
  <si>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</si>
  <si>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</si>
  <si>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</si>
  <si>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</si>
  <si>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</si>
  <si>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</si>
  <si>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</si>
  <si>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</si>
  <si>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</si>
  <si>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</si>
  <si>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</si>
  <si>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</si>
  <si>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</si>
  <si>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</si>
  <si>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</si>
  <si>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</si>
  <si>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</si>
  <si>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</si>
  <si>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</si>
  <si>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</si>
  <si>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</si>
  <si>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</si>
  <si>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</si>
  <si>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</si>
  <si>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</si>
  <si>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</si>
  <si>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</si>
  <si>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</si>
  <si>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</si>
  <si>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</si>
  <si>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</si>
  <si>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</si>
  <si>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</si>
  <si>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</si>
  <si>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</si>
  <si>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</si>
  <si>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</si>
  <si>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</si>
  <si>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</si>
  <si>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</si>
  <si>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</si>
  <si>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</si>
  <si>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</si>
  <si>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</si>
  <si>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</si>
  <si>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</si>
  <si>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</si>
  <si>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</si>
  <si>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</si>
  <si>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</si>
  <si>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</si>
  <si>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</si>
  <si>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</si>
  <si>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</si>
  <si>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</si>
  <si>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</si>
  <si>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</si>
  <si>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</si>
  <si>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</si>
  <si>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</si>
  <si>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</si>
  <si>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</si>
  <si>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</si>
  <si>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</si>
  <si>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</si>
  <si>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</si>
  <si>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</si>
  <si>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</si>
  <si>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</si>
  <si>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</si>
  <si>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</si>
  <si>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</si>
  <si>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</si>
  <si>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</si>
  <si>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</si>
  <si>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</si>
  <si>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</si>
  <si>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</si>
  <si>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</si>
  <si>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</si>
  <si>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</si>
  <si>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</si>
  <si>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</si>
  <si>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</si>
  <si>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</si>
  <si>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</si>
  <si>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</si>
  <si>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</si>
  <si>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</si>
  <si>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</si>
  <si>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</si>
  <si>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</si>
  <si>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</si>
  <si>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</si>
  <si>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</si>
  <si>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</si>
  <si>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</si>
  <si>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</si>
  <si>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</si>
  <si>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</si>
  <si>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</si>
  <si>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</si>
  <si>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</si>
  <si>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</si>
  <si>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</si>
  <si>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</si>
  <si>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</si>
  <si>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</si>
  <si>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</si>
  <si>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</si>
  <si>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</si>
  <si>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</si>
  <si>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</si>
  <si>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</si>
  <si>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</si>
  <si>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</si>
  <si>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</si>
  <si>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</si>
  <si>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</si>
  <si>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</si>
  <si>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</si>
  <si>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</si>
  <si>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</si>
  <si>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</si>
  <si>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</si>
  <si>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</si>
  <si>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</si>
  <si>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</si>
  <si>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</si>
  <si>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</si>
  <si>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</si>
  <si>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</si>
  <si>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</si>
  <si>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</si>
  <si>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</si>
  <si>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</si>
  <si>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</si>
  <si>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</si>
  <si>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</si>
  <si>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</si>
  <si>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</si>
  <si>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</si>
  <si>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</si>
  <si>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</si>
  <si>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</si>
  <si>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</si>
  <si>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</si>
  <si>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</si>
  <si>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</si>
  <si>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</si>
  <si>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</si>
  <si>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</si>
  <si>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</si>
  <si>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</si>
  <si>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</si>
  <si>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</si>
  <si>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</si>
  <si>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</si>
  <si>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</si>
  <si>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</si>
  <si>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</si>
  <si>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</si>
  <si>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</si>
  <si>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</si>
  <si>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</si>
  <si>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</si>
  <si>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</si>
  <si>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</si>
  <si>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</si>
  <si>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</si>
  <si>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</si>
  <si>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</si>
  <si>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</si>
  <si>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</si>
  <si>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</si>
  <si>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</si>
  <si>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</si>
  <si>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</si>
  <si>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</si>
  <si>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</si>
  <si>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</si>
  <si>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</si>
  <si>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</si>
  <si>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</si>
  <si>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</si>
  <si>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</si>
  <si>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</si>
  <si>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</si>
  <si>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</si>
  <si>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</si>
  <si>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</si>
  <si>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</si>
  <si>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</si>
  <si>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</si>
  <si>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</si>
  <si>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</si>
  <si>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</si>
  <si>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</si>
  <si>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</si>
  <si>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</si>
  <si>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</si>
  <si>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</si>
  <si>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</si>
  <si>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</si>
  <si>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</si>
  <si>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</si>
  <si>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</si>
  <si>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</si>
  <si>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</si>
  <si>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</si>
  <si>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</si>
  <si>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</si>
  <si>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</si>
  <si>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</si>
  <si>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</si>
  <si>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</si>
  <si>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</si>
  <si>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</si>
  <si>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</si>
  <si>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</si>
  <si>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</si>
  <si>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</si>
  <si>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</si>
  <si>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</si>
  <si>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</si>
  <si>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</si>
  <si>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</si>
  <si>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</si>
  <si>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</si>
  <si>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</si>
  <si>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</si>
  <si>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</si>
  <si>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</si>
  <si>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</si>
  <si>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</si>
  <si>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</si>
  <si>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</si>
  <si>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</si>
  <si>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</si>
  <si>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</si>
  <si>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</si>
  <si>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</si>
  <si>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</si>
  <si>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</si>
  <si>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</si>
  <si>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</si>
  <si>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</si>
  <si>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</si>
  <si>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</si>
  <si>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</si>
  <si>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</si>
  <si>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</si>
  <si>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</si>
  <si>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</si>
  <si>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</si>
  <si>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</si>
  <si>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</si>
  <si>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</si>
  <si>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</si>
  <si>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</si>
  <si>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</si>
  <si>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</si>
  <si>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</si>
  <si>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</si>
  <si>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</si>
  <si>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</si>
  <si>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</si>
  <si>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</si>
  <si>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</si>
  <si>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</si>
  <si>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</si>
  <si>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</si>
  <si>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</si>
  <si>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</si>
  <si>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</si>
  <si>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</si>
  <si>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</si>
  <si>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</si>
  <si>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</si>
  <si>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</si>
  <si>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</si>
  <si>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</si>
  <si>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</si>
  <si>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</si>
  <si>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</si>
  <si>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</si>
  <si>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</si>
  <si>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</si>
  <si>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</si>
  <si>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</si>
  <si>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</si>
  <si>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</si>
  <si>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</si>
  <si>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</si>
  <si>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</si>
  <si>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</si>
  <si>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</si>
  <si>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</si>
  <si>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</si>
  <si>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</si>
  <si>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</si>
  <si>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</si>
  <si>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</si>
  <si>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</si>
  <si>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</si>
  <si>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</si>
  <si>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</si>
  <si>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</si>
  <si>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</si>
  <si>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</si>
  <si>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</si>
  <si>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</si>
  <si>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</si>
  <si>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</si>
  <si>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</si>
  <si>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</si>
  <si>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</si>
  <si>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</si>
  <si>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</si>
  <si>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</si>
  <si>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</si>
  <si>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</si>
  <si>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</si>
  <si>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</si>
  <si>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</si>
  <si>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</si>
  <si>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</si>
  <si>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</si>
  <si>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</si>
  <si>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</si>
  <si>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</si>
  <si>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</si>
  <si>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</si>
  <si>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</si>
  <si>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</si>
  <si>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</si>
  <si>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</si>
  <si>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</si>
  <si>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</si>
  <si>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</si>
  <si>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</si>
  <si>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</si>
  <si>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</si>
  <si>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</si>
  <si>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</si>
  <si>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</si>
  <si>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</si>
  <si>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</si>
  <si>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</si>
  <si>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</si>
  <si>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</si>
  <si>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</si>
  <si>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</si>
  <si>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</si>
  <si>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</si>
  <si>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</si>
  <si>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</si>
  <si>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</si>
  <si>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</si>
  <si>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</si>
  <si>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</si>
  <si>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</si>
  <si>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</si>
  <si>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</si>
  <si>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</si>
  <si>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</si>
  <si>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</si>
  <si>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</si>
  <si>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</si>
  <si>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</si>
  <si>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</si>
  <si>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</si>
  <si>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</si>
  <si>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</si>
  <si>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</si>
  <si>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</si>
  <si>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</si>
  <si>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</si>
  <si>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</si>
  <si>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</si>
  <si>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</si>
  <si>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</si>
  <si>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</si>
  <si>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</si>
  <si>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</si>
  <si>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</si>
  <si>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</si>
  <si>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</si>
  <si>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</si>
  <si>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</si>
  <si>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</si>
  <si>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</si>
  <si>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</si>
  <si>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</si>
  <si>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</si>
  <si>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</si>
  <si>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</si>
  <si>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</si>
  <si>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</si>
  <si>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</si>
  <si>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</si>
  <si>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</si>
  <si>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</si>
  <si>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</si>
  <si>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</si>
  <si>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</si>
  <si>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</si>
  <si>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</si>
  <si>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</si>
  <si>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</si>
  <si>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</si>
  <si>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</si>
  <si>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</si>
  <si>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</si>
  <si>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</si>
  <si>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</si>
  <si>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</si>
  <si>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</si>
  <si>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</si>
  <si>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</si>
  <si>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</si>
  <si>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</si>
  <si>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</si>
  <si>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</si>
  <si>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</si>
  <si>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</si>
  <si>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</si>
  <si>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</si>
  <si>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</si>
  <si>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</si>
  <si>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</si>
  <si>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</si>
  <si>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</si>
  <si>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</si>
  <si>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</si>
  <si>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</si>
  <si>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</si>
  <si>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</si>
  <si>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</si>
  <si>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</si>
  <si>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</si>
  <si>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</si>
  <si>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</si>
  <si>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</si>
  <si>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</si>
  <si>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</si>
  <si>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</si>
  <si>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</si>
  <si>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</si>
  <si>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</si>
  <si>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</si>
  <si>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</si>
  <si>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</si>
  <si>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</si>
  <si>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</si>
  <si>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</si>
  <si>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</si>
  <si>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</si>
  <si>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</si>
  <si>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</si>
  <si>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</si>
  <si>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</si>
  <si>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</si>
  <si>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</si>
  <si>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</si>
  <si>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</si>
  <si>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</si>
  <si>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</si>
  <si>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</si>
  <si>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</si>
  <si>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</si>
  <si>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</si>
  <si>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</si>
  <si>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</si>
  <si>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</si>
  <si>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</si>
  <si>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</si>
  <si>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</si>
  <si>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</si>
  <si>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</si>
  <si>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</si>
  <si>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</si>
  <si>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</si>
  <si>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</si>
  <si>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</si>
  <si>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</si>
  <si>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</si>
  <si>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</si>
  <si>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</si>
  <si>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</si>
  <si>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</si>
  <si>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</si>
  <si>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</si>
  <si>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</si>
  <si>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</si>
  <si>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</si>
  <si>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</si>
  <si>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</si>
  <si>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</si>
  <si>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</si>
  <si>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</si>
  <si>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</si>
  <si>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</si>
  <si>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</si>
  <si>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</si>
  <si>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</si>
  <si>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</si>
  <si>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</si>
  <si>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</si>
  <si>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</si>
  <si>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</si>
  <si>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</si>
  <si>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</si>
  <si>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</si>
  <si>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</si>
  <si>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</si>
  <si>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</si>
  <si>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</si>
  <si>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</si>
  <si>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</si>
  <si>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</si>
  <si>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</si>
  <si>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</si>
  <si>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</si>
  <si>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</si>
  <si>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</si>
  <si>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</si>
  <si>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</si>
  <si>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</si>
  <si>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</si>
  <si>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</si>
  <si>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</si>
  <si>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</si>
  <si>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</si>
  <si>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</si>
  <si>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</si>
  <si>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</si>
  <si>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</si>
  <si>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</si>
  <si>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</si>
  <si>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</si>
  <si>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</si>
  <si>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</si>
  <si>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</si>
  <si>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</si>
  <si>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</si>
  <si>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</si>
  <si>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</si>
  <si>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</si>
  <si>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</si>
  <si>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</si>
  <si>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</si>
  <si>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</si>
  <si>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</si>
  <si>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</si>
  <si>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</si>
  <si>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</si>
  <si>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</si>
  <si>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</si>
  <si>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</si>
  <si>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</si>
  <si>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</si>
  <si>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</si>
  <si>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</si>
  <si>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</si>
  <si>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</si>
  <si>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</si>
  <si>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</si>
  <si>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</si>
  <si>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</si>
  <si>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</si>
  <si>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</si>
  <si>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</si>
  <si>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</si>
  <si>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</si>
  <si>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</si>
  <si>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</si>
  <si>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</si>
  <si>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</si>
  <si>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</si>
  <si>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</si>
  <si>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</si>
  <si>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</si>
  <si>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</si>
  <si>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</si>
  <si>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</si>
  <si>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</si>
  <si>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</si>
  <si>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</si>
  <si>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</si>
  <si>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</si>
  <si>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</si>
  <si>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</si>
  <si>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</si>
  <si>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</si>
  <si>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</si>
  <si>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</si>
  <si>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</si>
  <si>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</si>
  <si>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</si>
  <si>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</si>
  <si>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</si>
  <si>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</si>
  <si>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</si>
  <si>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</si>
  <si>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</si>
  <si>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</si>
  <si>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</si>
  <si>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</si>
  <si>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</si>
  <si>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</si>
  <si>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</si>
  <si>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</si>
  <si>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</si>
  <si>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</si>
  <si>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</si>
  <si>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</si>
  <si>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</si>
  <si>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</si>
  <si>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</si>
  <si>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</si>
  <si>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</si>
  <si>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</si>
  <si>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</si>
  <si>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</si>
  <si>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</si>
  <si>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</si>
  <si>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</si>
  <si>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</si>
  <si>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</si>
  <si>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</si>
  <si>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</si>
  <si>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</si>
  <si>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</si>
  <si>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</si>
  <si>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</si>
  <si>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</si>
  <si>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</si>
  <si>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</si>
  <si>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</si>
  <si>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</si>
  <si>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</si>
  <si>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</si>
  <si>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</si>
  <si>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</si>
  <si>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</si>
  <si>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</si>
  <si>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</si>
  <si>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</si>
  <si>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</si>
  <si>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</si>
  <si>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</si>
  <si>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</si>
  <si>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</si>
  <si>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</si>
  <si>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</si>
  <si>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</si>
  <si>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</si>
  <si>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</si>
  <si>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</si>
  <si>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</si>
  <si>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</si>
  <si>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</si>
  <si>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</si>
  <si>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</si>
  <si>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</si>
  <si>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</si>
  <si>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</si>
  <si>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</si>
  <si>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</si>
  <si>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</si>
  <si>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</si>
  <si>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</si>
  <si>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</si>
  <si>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</si>
  <si>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</si>
  <si>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</si>
  <si>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</si>
  <si>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</si>
  <si>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</si>
  <si>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</si>
  <si>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</si>
  <si>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</si>
  <si>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</si>
  <si>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</si>
  <si>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</si>
  <si>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</si>
  <si>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</si>
  <si>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</si>
  <si>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</si>
  <si>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</si>
  <si>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</si>
  <si>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</si>
  <si>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</si>
  <si>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</si>
  <si>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</si>
  <si>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</si>
  <si>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</si>
  <si>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</si>
  <si>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</si>
  <si>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</si>
  <si>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</si>
  <si>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</si>
  <si>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</si>
  <si>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</si>
  <si>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</si>
  <si>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</si>
  <si>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</si>
  <si>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</si>
  <si>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</si>
  <si>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</si>
  <si>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</si>
  <si>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</si>
  <si>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</si>
  <si>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</si>
  <si>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</si>
  <si>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</si>
  <si>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</si>
  <si>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</si>
  <si>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</si>
  <si>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</si>
  <si>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</si>
  <si>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</si>
  <si>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</si>
  <si>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</si>
  <si>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</si>
  <si>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</si>
  <si>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</si>
  <si>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</si>
  <si>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</si>
  <si>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</si>
  <si>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</si>
  <si>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</si>
  <si>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</si>
  <si>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</si>
  <si>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</si>
  <si>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</si>
  <si>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</si>
  <si>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</si>
  <si>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</si>
  <si>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</si>
  <si>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</si>
  <si>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</si>
  <si>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</si>
  <si>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</si>
  <si>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</si>
  <si>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</si>
  <si>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</si>
  <si>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</si>
  <si>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</si>
  <si>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</si>
  <si>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</si>
  <si>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</si>
  <si>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</si>
  <si>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</si>
  <si>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</si>
  <si>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</si>
  <si>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</si>
  <si>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</si>
  <si>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</si>
  <si>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</si>
  <si>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</si>
  <si>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</si>
  <si>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</si>
  <si>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</si>
  <si>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</si>
  <si>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</si>
  <si>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</si>
  <si>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</si>
  <si>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</si>
  <si>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</si>
  <si>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</si>
  <si>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</si>
  <si>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</si>
  <si>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</si>
  <si>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</si>
  <si>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</si>
  <si>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</si>
  <si>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</si>
  <si>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</si>
  <si>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</si>
  <si>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</si>
  <si>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</si>
  <si>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</si>
  <si>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</si>
  <si>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</si>
  <si>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</si>
  <si>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</si>
  <si>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</si>
  <si>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</si>
  <si>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</si>
  <si>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</si>
  <si>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</si>
  <si>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</si>
  <si>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</si>
  <si>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</si>
  <si>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</si>
  <si>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</si>
  <si>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</si>
  <si>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</si>
  <si>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</si>
  <si>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</si>
  <si>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</si>
  <si>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</si>
  <si>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</si>
  <si>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</si>
  <si>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</si>
  <si>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</si>
  <si>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</si>
  <si>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</si>
  <si>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</si>
  <si>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</si>
  <si>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</si>
  <si>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</si>
  <si>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</si>
  <si>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</si>
  <si>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</si>
  <si>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</si>
  <si>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</si>
  <si>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</si>
  <si>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</si>
  <si>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</si>
  <si>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</si>
  <si>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</si>
  <si>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</si>
  <si>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</si>
  <si>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</si>
  <si>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</si>
  <si>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</si>
  <si>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</si>
  <si>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</si>
  <si>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</si>
  <si>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</si>
  <si>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</si>
  <si>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</si>
  <si>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</si>
  <si>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</si>
  <si>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</si>
  <si>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</si>
  <si>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</si>
  <si>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</si>
  <si>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</si>
  <si>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</si>
  <si>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</si>
  <si>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</si>
  <si>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</si>
  <si>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</si>
  <si>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</si>
  <si>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</si>
  <si>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</si>
  <si>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</si>
  <si>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</si>
  <si>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</si>
  <si>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</si>
  <si>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</si>
  <si>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</si>
  <si>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</si>
  <si>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</si>
  <si>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</si>
  <si>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</si>
  <si>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</si>
  <si>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</si>
  <si>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</si>
  <si>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</si>
  <si>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</si>
  <si>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</si>
  <si>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</si>
  <si>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</si>
  <si>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</si>
  <si>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</si>
  <si>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</si>
  <si>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</si>
  <si>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</si>
  <si>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</si>
  <si>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</si>
  <si>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</si>
  <si>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</si>
  <si>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</si>
  <si>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</si>
  <si>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</si>
  <si>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</si>
  <si>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</si>
  <si>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</si>
  <si>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</si>
  <si>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</si>
  <si>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</si>
  <si>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</si>
  <si>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</si>
  <si>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</si>
  <si>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</si>
  <si>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</si>
  <si>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</si>
  <si>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</si>
  <si>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</si>
  <si>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</si>
  <si>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</si>
  <si>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</si>
  <si>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</si>
  <si>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</si>
  <si>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</si>
  <si>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</si>
  <si>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</si>
  <si>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</si>
  <si>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</si>
  <si>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</si>
  <si>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</si>
  <si>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</si>
  <si>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</si>
  <si>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</si>
  <si>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</si>
  <si>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</si>
  <si>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</si>
  <si>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</si>
  <si>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</si>
  <si>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</si>
  <si>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</si>
  <si>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</si>
  <si>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</si>
  <si>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</si>
  <si>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</si>
  <si>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</si>
  <si>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</si>
  <si>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</si>
  <si>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</si>
  <si>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</si>
  <si>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</si>
  <si>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</si>
  <si>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</si>
  <si>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</si>
  <si>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</si>
  <si>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</si>
  <si>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</si>
  <si>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</si>
  <si>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</si>
  <si>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</si>
  <si>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</si>
  <si>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</si>
  <si>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</si>
  <si>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</si>
  <si>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</si>
  <si>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</si>
  <si>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</si>
  <si>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</si>
  <si>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</si>
  <si>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</si>
  <si>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</si>
  <si>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</si>
  <si>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</si>
  <si>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</si>
  <si>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</si>
  <si>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</si>
  <si>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</si>
  <si>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</si>
  <si>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</si>
  <si>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</si>
  <si>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</si>
  <si>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</si>
  <si>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</si>
  <si>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</si>
  <si>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</si>
  <si>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</si>
  <si>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</si>
  <si>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</si>
  <si>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</si>
  <si>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</si>
  <si>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</si>
  <si>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</si>
  <si>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</si>
  <si>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</si>
  <si>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</si>
  <si>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</si>
  <si>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</si>
  <si>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</si>
  <si>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</si>
  <si>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</si>
  <si>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</si>
  <si>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</si>
  <si>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</si>
  <si>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</si>
  <si>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</si>
  <si>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</si>
  <si>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</si>
  <si>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</si>
  <si>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</si>
  <si>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</si>
  <si>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</si>
  <si>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</si>
  <si>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</si>
  <si>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</si>
  <si>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</si>
  <si>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</si>
  <si>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</si>
  <si>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</si>
  <si>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</si>
  <si>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</si>
  <si>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</si>
  <si>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</si>
  <si>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</si>
  <si>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</si>
  <si>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</si>
  <si>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</si>
  <si>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</si>
  <si>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</si>
  <si>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</si>
  <si>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</si>
  <si>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</si>
  <si>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</si>
  <si>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</si>
  <si>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</si>
  <si>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</si>
  <si>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</si>
  <si>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</si>
  <si>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</si>
  <si>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</si>
  <si>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</si>
  <si>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</si>
  <si>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</si>
  <si>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</si>
  <si>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</si>
  <si>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</si>
  <si>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</si>
  <si>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</si>
  <si>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</si>
  <si>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</si>
  <si>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</si>
  <si>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</si>
  <si>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</si>
  <si>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</si>
  <si>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</si>
  <si>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</si>
  <si>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</si>
  <si>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</si>
  <si>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</si>
  <si>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</si>
  <si>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</si>
  <si>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</si>
  <si>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</si>
  <si>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</si>
  <si>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</si>
  <si>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</si>
  <si>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</si>
  <si>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</si>
  <si>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</si>
  <si>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</si>
  <si>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</si>
  <si>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</si>
  <si>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</si>
  <si>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</si>
  <si>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</si>
  <si>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</si>
  <si>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</si>
  <si>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</si>
  <si>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</si>
  <si>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</si>
  <si>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</si>
  <si>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</si>
  <si>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</si>
  <si>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</si>
  <si>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</si>
  <si>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</si>
  <si>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</si>
  <si>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</si>
  <si>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</si>
  <si>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</si>
  <si>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</si>
  <si>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</si>
  <si>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</si>
  <si>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</si>
  <si>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</si>
  <si>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</si>
  <si>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</si>
  <si>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</si>
  <si>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</si>
  <si>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</si>
  <si>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</si>
  <si>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</si>
  <si>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</si>
  <si>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</si>
  <si>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</si>
  <si>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</si>
  <si>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</si>
  <si>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</si>
  <si>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</si>
  <si>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</si>
  <si>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</si>
  <si>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</si>
  <si>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</si>
  <si>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</si>
  <si>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</si>
  <si>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</si>
  <si>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</si>
  <si>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</si>
  <si>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</si>
  <si>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</si>
  <si>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</si>
  <si>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</si>
  <si>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</si>
  <si>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</si>
  <si>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</si>
  <si>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</si>
  <si>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</si>
  <si>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</si>
  <si>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</si>
  <si>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</si>
  <si>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</si>
  <si>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</si>
  <si>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</si>
  <si>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</si>
  <si>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</si>
  <si>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</si>
  <si>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</si>
  <si>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</si>
  <si>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</si>
  <si>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</si>
  <si>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</si>
  <si>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</si>
  <si>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</si>
  <si>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</si>
  <si>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</si>
  <si>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</si>
  <si>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</si>
  <si>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</si>
  <si>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</si>
  <si>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</si>
  <si>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</si>
  <si>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</si>
  <si>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</si>
  <si>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</si>
  <si>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</si>
  <si>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</si>
  <si>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</si>
  <si>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</si>
  <si>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</si>
  <si>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</si>
  <si>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</si>
  <si>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</si>
  <si>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</si>
  <si>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</si>
  <si>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</si>
  <si>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</si>
  <si>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</si>
  <si>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</si>
  <si>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</si>
  <si>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</si>
  <si>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</si>
  <si>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</si>
  <si>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</si>
  <si>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</si>
  <si>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</si>
  <si>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</si>
  <si>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</si>
  <si>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</si>
  <si>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</si>
  <si>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</si>
  <si>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</si>
  <si>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</si>
  <si>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</si>
  <si>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</si>
  <si>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</si>
  <si>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</si>
  <si>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</si>
  <si>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</si>
  <si>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</si>
  <si>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</si>
  <si>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</si>
  <si>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</si>
  <si>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</si>
  <si>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</si>
  <si>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</si>
  <si>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</si>
  <si>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</si>
  <si>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</si>
  <si>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</si>
  <si>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</si>
  <si>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</si>
  <si>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</si>
  <si>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</si>
  <si>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</si>
  <si>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</si>
  <si>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</si>
  <si>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</si>
  <si>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</si>
  <si>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</si>
  <si>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</si>
  <si>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</si>
  <si>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</si>
  <si>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</si>
  <si>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</si>
  <si>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</si>
  <si>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</si>
  <si>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</si>
  <si>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</si>
  <si>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</si>
  <si>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</si>
  <si>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</si>
  <si>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</si>
  <si>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</si>
  <si>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</si>
  <si>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</si>
  <si>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</si>
  <si>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</si>
  <si>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</si>
  <si>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</si>
  <si>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</si>
  <si>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</si>
  <si>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</si>
  <si>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</si>
  <si>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</si>
  <si>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</si>
  <si>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</si>
  <si>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</si>
  <si>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</si>
  <si>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</si>
  <si>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</si>
  <si>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</si>
  <si>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</si>
  <si>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</si>
  <si>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</si>
  <si>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</si>
  <si>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</si>
  <si>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</si>
  <si>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</si>
  <si>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</si>
  <si>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</si>
  <si>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</si>
  <si>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</si>
  <si>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</si>
  <si>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</si>
  <si>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</si>
  <si>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</si>
  <si>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</si>
  <si>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</si>
  <si>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</si>
  <si>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</si>
  <si>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</si>
  <si>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</si>
  <si>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</si>
  <si>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</si>
  <si>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</si>
  <si>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</si>
  <si>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</si>
  <si>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</si>
  <si>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</si>
  <si>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</si>
  <si>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</si>
  <si>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</si>
  <si>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</si>
  <si>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</si>
  <si>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</si>
  <si>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</si>
  <si>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</si>
  <si>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</si>
  <si>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</si>
  <si>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</si>
  <si>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</si>
  <si>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</si>
  <si>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</si>
  <si>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</si>
  <si>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</si>
  <si>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</si>
  <si>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</si>
  <si>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</si>
  <si>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</si>
  <si>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</si>
  <si>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</si>
  <si>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</si>
  <si>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</si>
  <si>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</si>
  <si>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</si>
  <si>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</si>
  <si>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</si>
  <si>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</si>
  <si>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</si>
  <si>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</si>
  <si>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</si>
  <si>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</si>
  <si>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</si>
  <si>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</si>
  <si>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</si>
  <si>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</si>
  <si>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</si>
  <si>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</si>
  <si>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</si>
  <si>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</si>
  <si>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</si>
  <si>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</si>
  <si>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</si>
  <si>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</si>
  <si>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</si>
  <si>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</si>
  <si>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</si>
  <si>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</si>
  <si>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</si>
  <si>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</si>
  <si>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</si>
  <si>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</si>
  <si>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</si>
  <si>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</si>
  <si>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</si>
  <si>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</si>
  <si>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</si>
  <si>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</si>
  <si>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</si>
  <si>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</si>
  <si>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</si>
  <si>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</si>
  <si>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</si>
  <si>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</si>
  <si>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</si>
  <si>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</si>
  <si>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</si>
  <si>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</si>
  <si>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</si>
  <si>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</si>
  <si>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</si>
  <si>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</si>
  <si>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</si>
  <si>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</si>
  <si>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</si>
  <si>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</si>
  <si>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</si>
  <si>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</si>
  <si>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</si>
  <si>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</si>
  <si>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</si>
  <si>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</si>
  <si>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</si>
  <si>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</si>
  <si>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</si>
  <si>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</si>
  <si>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</si>
  <si>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</si>
  <si>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</si>
  <si>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</si>
  <si>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</si>
  <si>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</si>
  <si>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</si>
  <si>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</si>
  <si>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</si>
  <si>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</si>
  <si>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</si>
  <si>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</si>
  <si>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</si>
  <si>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</si>
  <si>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</si>
  <si>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</si>
  <si>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</si>
  <si>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</si>
  <si>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</si>
  <si>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</si>
  <si>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</si>
  <si>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</si>
  <si>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</si>
  <si>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</si>
  <si>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</si>
  <si>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</si>
  <si>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</si>
  <si>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</si>
  <si>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</si>
  <si>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</si>
  <si>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</si>
  <si>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</si>
  <si>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</si>
  <si>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</si>
  <si>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</si>
  <si>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</si>
  <si>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</si>
  <si>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</si>
  <si>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</si>
  <si>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</si>
  <si>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</si>
  <si>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</si>
  <si>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</si>
  <si>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</si>
  <si>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</si>
  <si>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</si>
  <si>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</si>
  <si>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</si>
  <si>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</si>
  <si>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</si>
  <si>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</si>
  <si>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</si>
  <si>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</si>
  <si>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</si>
  <si>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</si>
  <si>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</si>
  <si>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</si>
  <si>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</si>
  <si>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</si>
  <si>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</si>
  <si>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</si>
  <si>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</si>
  <si>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</si>
  <si>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</si>
  <si>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</si>
  <si>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</si>
  <si>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</si>
  <si>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</si>
  <si>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</si>
  <si>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</si>
  <si>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</si>
  <si>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</si>
  <si>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</si>
  <si>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</si>
  <si>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</si>
  <si>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</si>
  <si>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</si>
  <si>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</si>
  <si>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</si>
  <si>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</si>
  <si>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</si>
  <si>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</si>
  <si>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</si>
  <si>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</si>
  <si>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</si>
  <si>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</si>
  <si>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</si>
  <si>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</si>
  <si>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</si>
  <si>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</si>
  <si>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</si>
  <si>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</si>
  <si>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</si>
  <si>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</si>
  <si>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</si>
  <si>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</si>
  <si>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</si>
  <si>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</si>
  <si>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</si>
  <si>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</si>
  <si>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</si>
  <si>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</si>
  <si>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</si>
  <si>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</si>
  <si>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</si>
  <si>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</si>
  <si>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</si>
  <si>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</si>
  <si>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</si>
  <si>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</si>
  <si>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</si>
  <si>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</si>
  <si>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</si>
  <si>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</si>
  <si>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</si>
  <si>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</si>
  <si>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</si>
  <si>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</si>
  <si>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</si>
  <si>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</si>
  <si>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</si>
  <si>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</si>
  <si>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</si>
  <si>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</si>
  <si>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</si>
  <si>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</si>
  <si>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</si>
  <si>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</si>
  <si>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</si>
  <si>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</si>
  <si>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</si>
  <si>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</si>
  <si>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</si>
  <si>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</si>
  <si>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</si>
  <si>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</si>
  <si>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</si>
  <si>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</si>
  <si>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</si>
  <si>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</si>
  <si>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</si>
  <si>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</si>
  <si>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</si>
  <si>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</si>
  <si>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</si>
  <si>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</si>
  <si>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</si>
  <si>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</si>
  <si>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</si>
  <si>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</si>
  <si>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</si>
  <si>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</si>
  <si>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</si>
  <si>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</si>
  <si>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</si>
  <si>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</si>
  <si>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</si>
  <si>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</si>
  <si>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</si>
  <si>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</si>
  <si>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</si>
  <si>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</si>
  <si>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</si>
  <si>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</si>
  <si>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</si>
  <si>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</si>
  <si>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</si>
  <si>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</si>
  <si>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</si>
  <si>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</si>
  <si>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</si>
  <si>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</si>
  <si>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</si>
  <si>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</si>
  <si>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</si>
  <si>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</si>
  <si>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</si>
  <si>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</si>
  <si>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</si>
  <si>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</si>
  <si>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</si>
  <si>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</si>
  <si>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</si>
  <si>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</si>
  <si>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</si>
  <si>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</si>
  <si>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</si>
  <si>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</si>
  <si>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</si>
  <si>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</si>
  <si>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</si>
  <si>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</si>
  <si>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</si>
  <si>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</si>
  <si>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</si>
  <si>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</si>
  <si>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</si>
  <si>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</si>
  <si>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</si>
  <si>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</si>
  <si>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</si>
  <si>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</si>
  <si>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</si>
  <si>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</si>
  <si>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</si>
  <si>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</si>
  <si>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</si>
  <si>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</si>
  <si>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</si>
  <si>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</si>
  <si>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</si>
  <si>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</si>
  <si>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</si>
  <si>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</si>
  <si>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</si>
  <si>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</si>
  <si>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</si>
  <si>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</si>
  <si>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</si>
  <si>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</si>
  <si>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</si>
  <si>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</si>
  <si>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</si>
  <si>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</si>
  <si>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</si>
  <si>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</si>
  <si>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</si>
  <si>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</si>
  <si>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</si>
  <si>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</si>
  <si>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</si>
  <si>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</si>
  <si>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</si>
  <si>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</si>
  <si>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</si>
  <si>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</si>
  <si>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</si>
  <si>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</si>
  <si>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</si>
  <si>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</si>
  <si>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</si>
  <si>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</si>
  <si>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</si>
  <si>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</si>
  <si>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</si>
  <si>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</si>
  <si>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</si>
  <si>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</si>
  <si>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</si>
  <si>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</si>
  <si>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</si>
  <si>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</si>
  <si>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</si>
  <si>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</si>
  <si>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</si>
  <si>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</si>
  <si>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</si>
  <si>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</si>
  <si>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</si>
  <si>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</si>
  <si>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</si>
  <si>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</si>
  <si>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</si>
  <si>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</si>
  <si>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</si>
  <si>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</si>
  <si>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</si>
  <si>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</si>
  <si>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</si>
  <si>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</si>
  <si>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</si>
  <si>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</si>
  <si>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</si>
  <si>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</si>
  <si>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</si>
  <si>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</si>
  <si>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</si>
  <si>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</si>
  <si>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</si>
  <si>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</si>
  <si>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</si>
  <si>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</si>
  <si>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</si>
  <si>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</si>
  <si>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</si>
  <si>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</si>
  <si>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</si>
  <si>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</si>
  <si>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</si>
  <si>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</si>
  <si>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</si>
  <si>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</si>
  <si>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</si>
  <si>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</si>
  <si>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</si>
  <si>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</si>
  <si>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</si>
  <si>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</si>
  <si>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</si>
  <si>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</si>
  <si>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</si>
  <si>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</si>
  <si>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</si>
  <si>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</si>
  <si>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</si>
  <si>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</si>
  <si>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</si>
  <si>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</si>
  <si>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</si>
  <si>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</si>
  <si>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</si>
  <si>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</si>
  <si>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</si>
  <si>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</si>
  <si>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</si>
  <si>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</si>
  <si>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</si>
  <si>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</si>
  <si>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</si>
  <si>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</si>
  <si>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</si>
  <si>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</si>
  <si>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</si>
  <si>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</si>
  <si>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</si>
  <si>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</si>
  <si>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</si>
  <si>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</si>
  <si>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</si>
  <si>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</si>
  <si>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</si>
  <si>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</si>
  <si>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</si>
  <si>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</si>
  <si>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</si>
  <si>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</si>
  <si>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</si>
  <si>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</si>
  <si>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</si>
  <si>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</si>
  <si>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</si>
  <si>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</si>
  <si>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</si>
  <si>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</si>
  <si>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</si>
  <si>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</si>
  <si>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</si>
  <si>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</si>
  <si>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</si>
  <si>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</si>
  <si>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</si>
  <si>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</si>
  <si>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</si>
  <si>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</si>
  <si>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</si>
  <si>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</si>
  <si>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</si>
  <si>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</si>
  <si>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</si>
  <si>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</si>
  <si>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</si>
  <si>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</si>
  <si>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</si>
  <si>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</si>
  <si>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</si>
  <si>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</si>
  <si>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</si>
  <si>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</si>
  <si>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</si>
  <si>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</si>
  <si>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</si>
  <si>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</si>
  <si>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</si>
  <si>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</si>
  <si>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</si>
  <si>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</si>
  <si>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</si>
  <si>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</si>
  <si>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</si>
  <si>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</si>
  <si>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</si>
  <si>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</si>
  <si>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</si>
  <si>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</si>
  <si>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</si>
  <si>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</si>
  <si>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</si>
  <si>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</si>
  <si>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</si>
  <si>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</si>
  <si>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</si>
  <si>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</si>
  <si>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</si>
  <si>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</si>
  <si>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</si>
  <si>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</si>
  <si>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</si>
  <si>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</si>
  <si>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</si>
  <si>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</si>
  <si>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</si>
  <si>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</si>
  <si>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</si>
  <si>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</si>
  <si>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</si>
  <si>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</si>
  <si>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</si>
  <si>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</si>
  <si>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</si>
  <si>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</si>
  <si>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</si>
  <si>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</si>
  <si>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</si>
  <si>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</si>
  <si>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</si>
  <si>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</si>
  <si>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</si>
  <si>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</si>
  <si>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</si>
  <si>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</si>
  <si>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</si>
  <si>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</si>
  <si>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</si>
  <si>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</si>
  <si>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</si>
  <si>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</si>
  <si>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</si>
  <si>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</si>
  <si>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</si>
  <si>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</si>
  <si>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</si>
  <si>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</si>
  <si>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</si>
  <si>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</si>
  <si>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</si>
  <si>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</si>
  <si>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</si>
  <si>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</si>
  <si>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</si>
  <si>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</si>
  <si>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</si>
  <si>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</si>
  <si>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</si>
  <si>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</si>
  <si>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</si>
  <si>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</si>
  <si>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</si>
  <si>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</si>
  <si>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</si>
  <si>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</si>
  <si>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</si>
  <si>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</si>
  <si>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</si>
  <si>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</si>
  <si>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</si>
  <si>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</si>
  <si>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</si>
  <si>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</si>
  <si>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</si>
  <si>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</si>
  <si>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</si>
  <si>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</si>
  <si>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</si>
  <si>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</si>
  <si>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</si>
  <si>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</si>
  <si>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</si>
  <si>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</si>
  <si>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</si>
  <si>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</si>
  <si>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</si>
  <si>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</si>
  <si>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</si>
  <si>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</si>
  <si>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</si>
  <si>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</si>
  <si>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</si>
  <si>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</si>
  <si>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</si>
  <si>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</si>
  <si>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</si>
  <si>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</si>
  <si>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</si>
  <si>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</si>
  <si>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</si>
  <si>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</si>
  <si>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</si>
  <si>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</si>
  <si>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</si>
  <si>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</si>
  <si>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</si>
  <si>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</si>
  <si>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</si>
  <si>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</si>
  <si>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</si>
  <si>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</si>
  <si>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</si>
  <si>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</si>
  <si>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</si>
  <si>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</si>
  <si>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</si>
  <si>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</si>
  <si>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</si>
  <si>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</si>
  <si>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</si>
  <si>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</si>
  <si>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</si>
  <si>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</si>
  <si>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</si>
  <si>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</si>
  <si>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</si>
  <si>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</si>
  <si>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</si>
  <si>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</si>
  <si>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</si>
  <si>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</si>
  <si>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</si>
  <si>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</si>
  <si>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</si>
  <si>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</si>
  <si>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</si>
  <si>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</si>
  <si>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</si>
  <si>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</si>
  <si>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</si>
  <si>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</si>
  <si>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</si>
  <si>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</si>
  <si>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</si>
  <si>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</si>
  <si>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</si>
  <si>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</si>
  <si>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</si>
  <si>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</si>
  <si>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</si>
  <si>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</si>
  <si>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</si>
  <si>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</si>
  <si>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</si>
  <si>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</si>
  <si>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</si>
  <si>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</si>
  <si>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</si>
  <si>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</si>
  <si>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</si>
  <si>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</si>
  <si>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</si>
  <si>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</si>
  <si>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</si>
  <si>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</si>
  <si>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</si>
  <si>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</si>
  <si>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</si>
  <si>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</si>
  <si>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</si>
  <si>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</si>
  <si>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</si>
  <si>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</si>
  <si>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</si>
  <si>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</si>
  <si>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</si>
  <si>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</si>
  <si>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</si>
  <si>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</si>
  <si>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</si>
  <si>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</si>
  <si>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</si>
  <si>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</si>
  <si>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</si>
  <si>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</si>
  <si>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</si>
  <si>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</si>
  <si>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</si>
  <si>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</si>
  <si>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</si>
  <si>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</si>
  <si>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</si>
  <si>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</si>
  <si>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</si>
  <si>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</si>
  <si>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</si>
  <si>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</si>
  <si>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</si>
  <si>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</si>
  <si>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</si>
  <si>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</si>
  <si>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</si>
  <si>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</si>
  <si>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</si>
  <si>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</si>
  <si>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</si>
  <si>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</si>
  <si>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</si>
  <si>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</si>
  <si>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</si>
  <si>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</si>
  <si>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</si>
  <si>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</si>
  <si>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</si>
  <si>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</si>
  <si>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</si>
  <si>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</si>
  <si>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</si>
  <si>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</si>
  <si>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</si>
  <si>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</si>
  <si>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</si>
  <si>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</si>
  <si>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</si>
  <si>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</si>
  <si>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</si>
  <si>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</si>
  <si>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</si>
  <si>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</si>
  <si>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</si>
  <si>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</si>
  <si>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</si>
  <si>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</si>
  <si>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</si>
  <si>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</si>
  <si>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</si>
  <si>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</si>
  <si>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</si>
  <si>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</si>
  <si>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</si>
  <si>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</si>
  <si>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</si>
  <si>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</si>
  <si>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</si>
  <si>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</si>
  <si>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</si>
  <si>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</si>
  <si>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</si>
  <si>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</si>
  <si>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</si>
  <si>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</si>
  <si>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</si>
  <si>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</si>
  <si>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</si>
  <si>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</si>
  <si>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</si>
  <si>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</si>
  <si>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</si>
  <si>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</si>
  <si>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</si>
  <si>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</si>
  <si>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</si>
  <si>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</si>
  <si>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</si>
  <si>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</si>
  <si>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</si>
  <si>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</si>
  <si>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</si>
  <si>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</si>
  <si>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</si>
  <si>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</si>
  <si>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</si>
  <si>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</si>
  <si>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</si>
  <si>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</si>
  <si>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</si>
  <si>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88124811471</t>
  </si>
  <si>
    <t>02702568</t>
  </si>
  <si>
    <t>120011855</t>
  </si>
  <si>
    <t>KOMUNALAC d.o.o. za komunalne djelatnosti</t>
  </si>
  <si>
    <t>P. Berislavića 39</t>
  </si>
  <si>
    <t>komunalac@sk.t-com.hr</t>
  </si>
  <si>
    <t>044855422</t>
  </si>
  <si>
    <t>SABINE BLAŽEVIĆ</t>
  </si>
  <si>
    <t>MATEA MIKULČIĆ</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</si>
</sst>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53"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53"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 fillId="0" borderId="48" xfId="0" applyFont="1" applyFill="1" applyBorder="1" applyAlignment="1" applyProtection="1">
      <alignment horizontal="left" vertical="center" wrapText="1"/>
      <protection hidden="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2020</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17364.38</v>
      </c>
      <c r="I3" s="31">
        <f>ABS(ROUND(J3,0)-J3)+ABS(ROUND(K3,0)-K3)</f>
        <v>0</v>
      </c>
      <c r="J3" s="31">
        <f>Bilanca!I10</f>
        <v>360235</v>
      </c>
      <c r="K3" s="31">
        <f>Bilanca!J10</f>
        <v>253992</v>
      </c>
    </row>
    <row r="4" spans="1:11" ht="12.75">
      <c r="A4" s="4" t="s">
        <v>1088</v>
      </c>
      <c r="B4" s="29" t="s">
        <v>1888</v>
      </c>
      <c r="D4" s="4" t="s">
        <v>1521</v>
      </c>
      <c r="E4" s="4">
        <v>1</v>
      </c>
      <c r="F4" s="4">
        <f>Bilanca!G11</f>
        <v>3</v>
      </c>
      <c r="G4" s="4">
        <f>IF(Bilanca!H11=0,"",Bilanca!H11)</f>
      </c>
      <c r="H4" s="30">
        <f>J4/100*F4+2*K4/100*F4</f>
        <v>719.1600000000001</v>
      </c>
      <c r="I4" s="31">
        <f>ABS(ROUND(J4,0)-J4)+ABS(ROUND(K4,0)-K4)</f>
        <v>0</v>
      </c>
      <c r="J4" s="31">
        <f>Bilanca!I11</f>
        <v>10378</v>
      </c>
      <c r="K4" s="31">
        <f>Bilanca!J11</f>
        <v>6797</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02702568</v>
      </c>
      <c r="D6" s="4" t="s">
        <v>1521</v>
      </c>
      <c r="E6" s="4">
        <v>1</v>
      </c>
      <c r="F6" s="4">
        <f>Bilanca!G13</f>
        <v>5</v>
      </c>
      <c r="G6" s="4">
        <f>IF(Bilanca!H13=0,"",Bilanca!H13)</f>
      </c>
      <c r="H6" s="30">
        <f aca="true" t="shared" si="0" ref="H6:H45">J6/100*F6+2*K6/100*F6</f>
        <v>1198.6</v>
      </c>
      <c r="I6" s="31">
        <f aca="true" t="shared" si="1" ref="I6:I45">ABS(ROUND(J6,0)-J6)+ABS(ROUND(K6,0)-K6)</f>
        <v>0</v>
      </c>
      <c r="J6" s="31">
        <f>Bilanca!I13</f>
        <v>10378</v>
      </c>
      <c r="K6" s="31">
        <f>Bilanca!J13</f>
        <v>6797</v>
      </c>
    </row>
    <row r="7" spans="1:11" ht="12.75">
      <c r="A7" s="4" t="s">
        <v>2353</v>
      </c>
      <c r="B7" s="29" t="str">
        <f>RefStr!M27</f>
        <v>120011855</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88124811471</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KOMUNALAC d.o.o. za komunalne djelatnosti</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44450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Hrvatska Dubica</v>
      </c>
      <c r="D11" s="4" t="s">
        <v>1521</v>
      </c>
      <c r="E11" s="4">
        <v>1</v>
      </c>
      <c r="F11" s="4">
        <f>Bilanca!G18</f>
        <v>10</v>
      </c>
      <c r="G11" s="4">
        <f>IF(Bilanca!H18=0,"",Bilanca!H18)</f>
      </c>
      <c r="H11" s="30">
        <f t="shared" si="0"/>
        <v>84424.70000000001</v>
      </c>
      <c r="I11" s="31">
        <f t="shared" si="1"/>
        <v>0</v>
      </c>
      <c r="J11" s="31">
        <f>Bilanca!I18</f>
        <v>349857</v>
      </c>
      <c r="K11" s="31">
        <f>Bilanca!J18</f>
        <v>247195</v>
      </c>
    </row>
    <row r="12" spans="1:11" ht="12.75">
      <c r="A12" s="4" t="s">
        <v>2357</v>
      </c>
      <c r="B12" s="29" t="str">
        <f>TRIM(RefStr!C33)</f>
        <v>P. Berislavića 39</v>
      </c>
      <c r="D12" s="4" t="s">
        <v>1521</v>
      </c>
      <c r="E12" s="4">
        <v>1</v>
      </c>
      <c r="F12" s="4">
        <f>Bilanca!G19</f>
        <v>11</v>
      </c>
      <c r="G12" s="4">
        <f>IF(Bilanca!H19=0,"",Bilanca!H19)</f>
      </c>
      <c r="H12" s="30">
        <f t="shared" si="0"/>
        <v>5625.18</v>
      </c>
      <c r="I12" s="31">
        <f t="shared" si="1"/>
        <v>0</v>
      </c>
      <c r="J12" s="31">
        <f>Bilanca!I19</f>
        <v>43070</v>
      </c>
      <c r="K12" s="31">
        <f>Bilanca!J19</f>
        <v>4034</v>
      </c>
    </row>
    <row r="13" spans="1:11" ht="12.75">
      <c r="A13" s="4" t="s">
        <v>1193</v>
      </c>
      <c r="B13" s="29" t="str">
        <f>TRIM(RefStr!C35)</f>
        <v>komunalac@sk.t-com.hr</v>
      </c>
      <c r="D13" s="4" t="s">
        <v>1521</v>
      </c>
      <c r="E13" s="4">
        <v>1</v>
      </c>
      <c r="F13" s="4">
        <f>Bilanca!G20</f>
        <v>12</v>
      </c>
      <c r="G13" s="4">
        <f>IF(Bilanca!H20=0,"",Bilanca!H20)</f>
      </c>
      <c r="H13" s="30">
        <f t="shared" si="0"/>
        <v>0</v>
      </c>
      <c r="I13" s="31">
        <f t="shared" si="1"/>
        <v>0</v>
      </c>
      <c r="J13" s="31">
        <f>Bilanca!I20</f>
        <v>0</v>
      </c>
      <c r="K13" s="31">
        <f>Bilanca!J20</f>
        <v>0</v>
      </c>
    </row>
    <row r="14" spans="1:11" ht="12.75">
      <c r="A14" s="4" t="s">
        <v>1194</v>
      </c>
      <c r="B14" s="29">
        <f>TRIM(RefStr!C37)</f>
      </c>
      <c r="D14" s="4" t="s">
        <v>1521</v>
      </c>
      <c r="E14" s="4">
        <v>1</v>
      </c>
      <c r="F14" s="4">
        <f>Bilanca!G21</f>
        <v>13</v>
      </c>
      <c r="G14" s="4">
        <f>IF(Bilanca!H21=0,"",Bilanca!H21)</f>
      </c>
      <c r="H14" s="30">
        <f t="shared" si="0"/>
        <v>57899.53</v>
      </c>
      <c r="I14" s="31">
        <f t="shared" si="1"/>
        <v>0</v>
      </c>
      <c r="J14" s="31">
        <f>Bilanca!I21</f>
        <v>158903</v>
      </c>
      <c r="K14" s="31">
        <f>Bilanca!J21</f>
        <v>143239</v>
      </c>
    </row>
    <row r="15" spans="1:11" ht="12.75">
      <c r="A15" s="4" t="s">
        <v>2360</v>
      </c>
      <c r="B15" s="29" t="str">
        <f>TEXT(RefStr!J39,"00")</f>
        <v>03</v>
      </c>
      <c r="D15" s="4" t="s">
        <v>1521</v>
      </c>
      <c r="E15" s="4">
        <v>1</v>
      </c>
      <c r="F15" s="4">
        <f>Bilanca!G22</f>
        <v>14</v>
      </c>
      <c r="G15" s="4">
        <f>IF(Bilanca!H22=0,"",Bilanca!H22)</f>
      </c>
      <c r="H15" s="30">
        <f t="shared" si="0"/>
        <v>48681.92</v>
      </c>
      <c r="I15" s="31">
        <f t="shared" si="1"/>
        <v>0</v>
      </c>
      <c r="J15" s="31">
        <f>Bilanca!I22</f>
        <v>147884</v>
      </c>
      <c r="K15" s="31">
        <f>Bilanca!J22</f>
        <v>99922</v>
      </c>
    </row>
    <row r="16" spans="1:11" ht="12.75">
      <c r="A16" s="4" t="s">
        <v>2359</v>
      </c>
      <c r="B16" s="29" t="str">
        <f>TEXT(RefStr!C39,"000")</f>
        <v>149</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3811</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6</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7</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6</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7</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413498.31000000006</v>
      </c>
      <c r="I38" s="31">
        <f t="shared" si="1"/>
        <v>0</v>
      </c>
      <c r="J38" s="31">
        <f>Bilanca!I45</f>
        <v>382367</v>
      </c>
      <c r="K38" s="31">
        <f>Bilanca!J45</f>
        <v>367598</v>
      </c>
    </row>
    <row r="39" spans="1:11" ht="12.75">
      <c r="A39" s="4" t="s">
        <v>1216</v>
      </c>
      <c r="B39" s="29" t="str">
        <f>RefStr!C68</f>
        <v>SABINE BLAŽEVIĆ</v>
      </c>
      <c r="D39" s="4" t="s">
        <v>1521</v>
      </c>
      <c r="E39" s="4">
        <v>1</v>
      </c>
      <c r="F39" s="4">
        <f>Bilanca!G46</f>
        <v>38</v>
      </c>
      <c r="G39" s="4">
        <f>IF(Bilanca!H46=0,"",Bilanca!H46)</f>
      </c>
      <c r="H39" s="30">
        <f t="shared" si="0"/>
        <v>54681.619999999995</v>
      </c>
      <c r="I39" s="31">
        <f t="shared" si="1"/>
        <v>0</v>
      </c>
      <c r="J39" s="31">
        <f>Bilanca!I46</f>
        <v>37241</v>
      </c>
      <c r="K39" s="31">
        <f>Bilanca!J46</f>
        <v>53329</v>
      </c>
    </row>
    <row r="40" spans="1:11" ht="12.75">
      <c r="A40" s="4" t="s">
        <v>1217</v>
      </c>
      <c r="B40" s="29" t="str">
        <f>TRIM(RefStr!C70)</f>
        <v>044855422</v>
      </c>
      <c r="D40" s="4" t="s">
        <v>1521</v>
      </c>
      <c r="E40" s="4">
        <v>1</v>
      </c>
      <c r="F40" s="4">
        <f>Bilanca!G47</f>
        <v>39</v>
      </c>
      <c r="G40" s="4">
        <f>IF(Bilanca!H47=0,"",Bilanca!H47)</f>
      </c>
      <c r="H40" s="30">
        <f t="shared" si="0"/>
        <v>56120.61</v>
      </c>
      <c r="I40" s="31">
        <f t="shared" si="1"/>
        <v>0</v>
      </c>
      <c r="J40" s="31">
        <f>Bilanca!I47</f>
        <v>37241</v>
      </c>
      <c r="K40" s="31">
        <f>Bilanca!J47</f>
        <v>53329</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komunalac@sk.t-com.hr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MATEA MIKULČIĆ</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20200101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20201231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236005.3</v>
      </c>
      <c r="I47" s="31">
        <f t="shared" si="3"/>
        <v>0</v>
      </c>
      <c r="J47" s="31">
        <f>Bilanca!I54</f>
        <v>182259</v>
      </c>
      <c r="K47" s="31">
        <f>Bilanca!J54</f>
        <v>165398</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234088.18999999997</v>
      </c>
      <c r="I50" s="31">
        <f t="shared" si="3"/>
        <v>0</v>
      </c>
      <c r="J50" s="31">
        <f>Bilanca!I57</f>
        <v>176807</v>
      </c>
      <c r="K50" s="31">
        <f>Bilanca!J57</f>
        <v>150462</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17410.89</v>
      </c>
      <c r="I52" s="31">
        <f t="shared" si="3"/>
        <v>0</v>
      </c>
      <c r="J52" s="31">
        <f>Bilanca!I59</f>
        <v>4267</v>
      </c>
      <c r="K52" s="31">
        <f>Bilanca!J59</f>
        <v>14936</v>
      </c>
    </row>
    <row r="53" spans="1:11" ht="12.75">
      <c r="A53" s="4" t="s">
        <v>532</v>
      </c>
      <c r="B53" s="29" t="str">
        <f>RefStr!I56</f>
        <v>DA</v>
      </c>
      <c r="D53" s="4" t="s">
        <v>1521</v>
      </c>
      <c r="E53" s="4">
        <v>1</v>
      </c>
      <c r="F53" s="4">
        <f>Bilanca!G60</f>
        <v>52</v>
      </c>
      <c r="G53" s="4">
        <f>IF(Bilanca!H60=0,"",Bilanca!H60)</f>
      </c>
      <c r="H53" s="30">
        <f t="shared" si="2"/>
        <v>616.1999999999999</v>
      </c>
      <c r="I53" s="31">
        <f t="shared" si="3"/>
        <v>0</v>
      </c>
      <c r="J53" s="31">
        <f>Bilanca!I60</f>
        <v>1185</v>
      </c>
      <c r="K53" s="31">
        <f>Bilanca!J60</f>
        <v>0</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944538998.4200001</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290183.67</v>
      </c>
      <c r="I64" s="31">
        <f t="shared" si="3"/>
        <v>0</v>
      </c>
      <c r="J64" s="31">
        <f>Bilanca!I71</f>
        <v>162867</v>
      </c>
      <c r="K64" s="31">
        <f>Bilanca!J71</f>
        <v>148871</v>
      </c>
    </row>
    <row r="65" spans="1:11" ht="12.75">
      <c r="A65" s="4" t="s">
        <v>687</v>
      </c>
      <c r="B65" s="29" t="str">
        <f>RefStr!N19</f>
        <v>HSFI</v>
      </c>
      <c r="D65" s="4" t="s">
        <v>1521</v>
      </c>
      <c r="E65" s="4">
        <v>1</v>
      </c>
      <c r="F65" s="4">
        <f>Bilanca!G72</f>
        <v>64</v>
      </c>
      <c r="G65" s="4">
        <f>IF(Bilanca!H72=0,"",Bilanca!H72)</f>
      </c>
      <c r="H65" s="30">
        <f t="shared" si="2"/>
        <v>17699.84</v>
      </c>
      <c r="I65" s="31">
        <f t="shared" si="3"/>
        <v>0</v>
      </c>
      <c r="J65" s="31">
        <f>Bilanca!I72</f>
        <v>3750</v>
      </c>
      <c r="K65" s="31">
        <f>Bilanca!J72</f>
        <v>11953</v>
      </c>
    </row>
    <row r="66" spans="1:11" ht="12.75">
      <c r="A66" s="4" t="s">
        <v>688</v>
      </c>
      <c r="B66" s="29">
        <f>RefStr!C23</f>
        <v>1</v>
      </c>
      <c r="D66" s="4" t="s">
        <v>1521</v>
      </c>
      <c r="E66" s="4">
        <v>1</v>
      </c>
      <c r="F66" s="4">
        <f>Bilanca!G73</f>
        <v>65</v>
      </c>
      <c r="G66" s="4">
        <f>IF(Bilanca!H73=0,"",Bilanca!H73)</f>
      </c>
      <c r="H66" s="30">
        <f t="shared" si="2"/>
        <v>1308734.7000000002</v>
      </c>
      <c r="I66" s="31">
        <f t="shared" si="3"/>
        <v>0</v>
      </c>
      <c r="J66" s="31">
        <f>Bilanca!I73</f>
        <v>746352</v>
      </c>
      <c r="K66" s="31">
        <f>Bilanca!J73</f>
        <v>633543</v>
      </c>
    </row>
    <row r="67" spans="1:11" ht="12.75">
      <c r="A67" s="4" t="s">
        <v>689</v>
      </c>
      <c r="B67" s="29" t="str">
        <f>RefStr!L35</f>
        <v>044855422</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967920.19</v>
      </c>
      <c r="I68" s="31">
        <f t="shared" si="3"/>
        <v>0</v>
      </c>
      <c r="J68" s="31">
        <f>Bilanca!I76</f>
        <v>519127</v>
      </c>
      <c r="K68" s="31">
        <f>Bilanca!J76</f>
        <v>462765</v>
      </c>
    </row>
    <row r="69" spans="1:11" ht="12.75">
      <c r="A69" s="4" t="s">
        <v>691</v>
      </c>
      <c r="B69" s="29">
        <f>RefStr!M46</f>
        <v>0</v>
      </c>
      <c r="D69" s="4" t="s">
        <v>1521</v>
      </c>
      <c r="E69" s="4">
        <v>1</v>
      </c>
      <c r="F69" s="4">
        <f>Bilanca!G77</f>
        <v>68</v>
      </c>
      <c r="G69" s="4">
        <f>IF(Bilanca!H77=0,"",Bilanca!H77)</f>
      </c>
      <c r="H69" s="30">
        <f t="shared" si="2"/>
        <v>40800</v>
      </c>
      <c r="I69" s="31">
        <f t="shared" si="3"/>
        <v>0</v>
      </c>
      <c r="J69" s="31">
        <f>Bilanca!I77</f>
        <v>20000</v>
      </c>
      <c r="K69" s="31">
        <f>Bilanca!J77</f>
        <v>20000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25444.8</v>
      </c>
      <c r="I77" s="31">
        <f t="shared" si="3"/>
        <v>0</v>
      </c>
      <c r="J77" s="31">
        <f>Bilanca!I85</f>
        <v>33480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1052164.08</v>
      </c>
      <c r="I82" s="31">
        <f t="shared" si="3"/>
        <v>0</v>
      </c>
      <c r="J82" s="31">
        <f>Bilanca!I90</f>
        <v>367674</v>
      </c>
      <c r="K82" s="31">
        <f>Bilanca!J90</f>
        <v>465647</v>
      </c>
    </row>
    <row r="83" spans="4:11" ht="12.75">
      <c r="D83" s="4" t="s">
        <v>1521</v>
      </c>
      <c r="E83" s="4">
        <v>1</v>
      </c>
      <c r="F83" s="4">
        <f>Bilanca!G91</f>
        <v>82</v>
      </c>
      <c r="G83" s="4">
        <f>IF(Bilanca!H91=0,"",Bilanca!H91)</f>
      </c>
      <c r="H83" s="30">
        <f t="shared" si="2"/>
        <v>1065153.76</v>
      </c>
      <c r="I83" s="31">
        <f t="shared" si="3"/>
        <v>0</v>
      </c>
      <c r="J83" s="31">
        <f>Bilanca!I91</f>
        <v>367674</v>
      </c>
      <c r="K83" s="31">
        <f>Bilanca!J91</f>
        <v>465647</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43855.560000000005</v>
      </c>
      <c r="I85" s="31">
        <f>ABS(ROUND(J85,0)-J85)+ABS(ROUND(K85,0)-K85)</f>
        <v>0</v>
      </c>
      <c r="J85" s="31">
        <f>Bilanca!I93</f>
        <v>97973</v>
      </c>
      <c r="K85" s="31">
        <f>Bilanca!J93</f>
        <v>-22882</v>
      </c>
    </row>
    <row r="86" spans="4:11" ht="12.75">
      <c r="D86" s="4" t="s">
        <v>1521</v>
      </c>
      <c r="E86" s="4">
        <v>1</v>
      </c>
      <c r="F86" s="4">
        <f>Bilanca!G94</f>
        <v>85</v>
      </c>
      <c r="G86" s="4">
        <f>IF(Bilanca!H94=0,"",Bilanca!H94)</f>
      </c>
      <c r="H86" s="30">
        <f>J86/100*F86+2*K86/100*F86</f>
        <v>83277.05</v>
      </c>
      <c r="I86" s="31">
        <f>ABS(ROUND(J86,0)-J86)+ABS(ROUND(K86,0)-K86)</f>
        <v>0</v>
      </c>
      <c r="J86" s="31">
        <f>Bilanca!I94</f>
        <v>97973</v>
      </c>
      <c r="K86" s="31">
        <f>Bilanca!J94</f>
        <v>0</v>
      </c>
    </row>
    <row r="87" spans="4:11" ht="12.75">
      <c r="D87" s="4" t="s">
        <v>1521</v>
      </c>
      <c r="E87" s="4">
        <v>1</v>
      </c>
      <c r="F87" s="4">
        <f>Bilanca!G95</f>
        <v>86</v>
      </c>
      <c r="G87" s="4">
        <f>IF(Bilanca!H95=0,"",Bilanca!H95)</f>
      </c>
      <c r="H87" s="30">
        <f aca="true" t="shared" si="4" ref="H87:H127">J87/100*F87+2*K87/100*F87</f>
        <v>39357.04</v>
      </c>
      <c r="I87" s="31">
        <f aca="true" t="shared" si="5" ref="I87:I127">ABS(ROUND(J87,0)-J87)+ABS(ROUND(K87,0)-K87)</f>
        <v>0</v>
      </c>
      <c r="J87" s="31">
        <f>Bilanca!I95</f>
        <v>0</v>
      </c>
      <c r="K87" s="31">
        <f>Bilanca!J95</f>
        <v>22882</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4336.75</v>
      </c>
      <c r="I96" s="31">
        <f t="shared" si="5"/>
        <v>0</v>
      </c>
      <c r="J96" s="31">
        <f>Bilanca!I104</f>
        <v>4565</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4838.9</v>
      </c>
      <c r="I107" s="31">
        <f t="shared" si="5"/>
        <v>0</v>
      </c>
      <c r="J107" s="31">
        <f>Bilanca!I115</f>
        <v>4565</v>
      </c>
      <c r="K107" s="31">
        <f>Bilanca!J115</f>
        <v>0</v>
      </c>
    </row>
    <row r="108" spans="4:11" ht="12.75">
      <c r="D108" s="4" t="s">
        <v>1521</v>
      </c>
      <c r="E108" s="4">
        <v>1</v>
      </c>
      <c r="F108" s="4">
        <f>Bilanca!G116</f>
        <v>107</v>
      </c>
      <c r="G108" s="4">
        <f>IF(Bilanca!H116=0,"",Bilanca!H116)</f>
      </c>
      <c r="H108" s="30">
        <f t="shared" si="4"/>
        <v>219297.57</v>
      </c>
      <c r="I108" s="31">
        <f t="shared" si="5"/>
        <v>0</v>
      </c>
      <c r="J108" s="31">
        <f>Bilanca!I116</f>
        <v>63513</v>
      </c>
      <c r="K108" s="31">
        <f>Bilanca!J116</f>
        <v>70719</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50774.8</v>
      </c>
      <c r="I116" s="31">
        <f t="shared" si="5"/>
        <v>0</v>
      </c>
      <c r="J116" s="31">
        <f>Bilanca!I124</f>
        <v>14126</v>
      </c>
      <c r="K116" s="31">
        <f>Bilanca!J124</f>
        <v>15013</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108240.20999999999</v>
      </c>
      <c r="I118" s="31">
        <f t="shared" si="5"/>
        <v>0</v>
      </c>
      <c r="J118" s="31">
        <f>Bilanca!I126</f>
        <v>29803</v>
      </c>
      <c r="K118" s="31">
        <f>Bilanca!J126</f>
        <v>31355</v>
      </c>
    </row>
    <row r="119" spans="4:11" ht="12.75">
      <c r="D119" s="4" t="s">
        <v>1521</v>
      </c>
      <c r="E119" s="4">
        <v>1</v>
      </c>
      <c r="F119" s="4">
        <f>Bilanca!G127</f>
        <v>118</v>
      </c>
      <c r="G119" s="4">
        <f>IF(Bilanca!H127=0,"",Bilanca!H127)</f>
      </c>
      <c r="H119" s="30">
        <f t="shared" si="4"/>
        <v>80577.48</v>
      </c>
      <c r="I119" s="31">
        <f t="shared" si="5"/>
        <v>0</v>
      </c>
      <c r="J119" s="31">
        <f>Bilanca!I127</f>
        <v>19584</v>
      </c>
      <c r="K119" s="31">
        <f>Bilanca!J127</f>
        <v>24351</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0</v>
      </c>
      <c r="I122" s="31">
        <f t="shared" si="5"/>
        <v>0</v>
      </c>
      <c r="J122" s="31">
        <f>Bilanca!I130</f>
        <v>0</v>
      </c>
      <c r="K122" s="31">
        <f>Bilanca!J130</f>
        <v>0</v>
      </c>
    </row>
    <row r="123" spans="4:11" ht="12.75">
      <c r="D123" s="4" t="s">
        <v>1521</v>
      </c>
      <c r="E123" s="4">
        <v>1</v>
      </c>
      <c r="F123" s="4">
        <f>Bilanca!G131</f>
        <v>122</v>
      </c>
      <c r="G123" s="4">
        <f>IF(Bilanca!H131=0,"",Bilanca!H131)</f>
      </c>
      <c r="H123" s="30">
        <f t="shared" si="4"/>
        <v>438303.30000000005</v>
      </c>
      <c r="I123" s="31">
        <f t="shared" si="5"/>
        <v>0</v>
      </c>
      <c r="J123" s="31">
        <f>Bilanca!I131</f>
        <v>159147</v>
      </c>
      <c r="K123" s="31">
        <f>Bilanca!J131</f>
        <v>100059</v>
      </c>
    </row>
    <row r="124" spans="4:11" ht="12.75">
      <c r="D124" s="4" t="s">
        <v>1521</v>
      </c>
      <c r="E124" s="4">
        <v>1</v>
      </c>
      <c r="F124" s="4">
        <f>Bilanca!G132</f>
        <v>123</v>
      </c>
      <c r="G124" s="4">
        <f>IF(Bilanca!H132=0,"",Bilanca!H132)</f>
      </c>
      <c r="H124" s="30">
        <f t="shared" si="4"/>
        <v>2476528.74</v>
      </c>
      <c r="I124" s="31">
        <f t="shared" si="5"/>
        <v>0</v>
      </c>
      <c r="J124" s="31">
        <f>Bilanca!I132</f>
        <v>746352</v>
      </c>
      <c r="K124" s="31">
        <f>Bilanca!J132</f>
        <v>633543</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3899515</v>
      </c>
      <c r="I126" s="4">
        <f t="shared" si="5"/>
        <v>0</v>
      </c>
      <c r="J126" s="31">
        <f>RDG!I8</f>
        <v>1043986</v>
      </c>
      <c r="K126" s="31">
        <f>RDG!J8</f>
        <v>1037813</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3743210.7</v>
      </c>
      <c r="I128" s="4">
        <f aca="true" t="shared" si="7" ref="I128:I190">ABS(ROUND(J128,0)-J128)+ABS(ROUND(K128,0)-K128)</f>
        <v>0</v>
      </c>
      <c r="J128" s="31">
        <f>RDG!I10</f>
        <v>982504</v>
      </c>
      <c r="K128" s="31">
        <f>RDG!J10</f>
        <v>982453</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223862.6</v>
      </c>
      <c r="I131" s="4">
        <f t="shared" si="7"/>
        <v>0</v>
      </c>
      <c r="J131" s="31">
        <f>RDG!I13</f>
        <v>61482</v>
      </c>
      <c r="K131" s="31">
        <f>RDG!J13</f>
        <v>55360</v>
      </c>
    </row>
    <row r="132" spans="4:11" ht="12.75">
      <c r="D132" s="4" t="s">
        <v>541</v>
      </c>
      <c r="E132" s="4">
        <v>2</v>
      </c>
      <c r="F132" s="4">
        <f>RDG!G14</f>
        <v>131</v>
      </c>
      <c r="G132" s="4">
        <f>IF(RDG!H14=0,"",RDG!H14)</f>
      </c>
      <c r="H132" s="30">
        <f t="shared" si="6"/>
        <v>4086731.02</v>
      </c>
      <c r="I132" s="4">
        <f t="shared" si="7"/>
        <v>0</v>
      </c>
      <c r="J132" s="31">
        <f>RDG!I14</f>
        <v>955262</v>
      </c>
      <c r="K132" s="31">
        <f>RDG!J14</f>
        <v>1082190</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1433984.7200000002</v>
      </c>
      <c r="I134" s="4">
        <f t="shared" si="7"/>
        <v>0</v>
      </c>
      <c r="J134" s="31">
        <f>RDG!I16</f>
        <v>413478</v>
      </c>
      <c r="K134" s="31">
        <f>RDG!J16</f>
        <v>332353</v>
      </c>
    </row>
    <row r="135" spans="4:11" ht="12.75">
      <c r="D135" s="4" t="s">
        <v>541</v>
      </c>
      <c r="E135" s="4">
        <v>2</v>
      </c>
      <c r="F135" s="4">
        <f>RDG!G17</f>
        <v>134</v>
      </c>
      <c r="G135" s="4">
        <f>IF(RDG!H17=0,"",RDG!H17)</f>
      </c>
      <c r="H135" s="30">
        <f t="shared" si="6"/>
        <v>711064.3</v>
      </c>
      <c r="I135" s="4">
        <f t="shared" si="7"/>
        <v>0</v>
      </c>
      <c r="J135" s="31">
        <f>RDG!I17</f>
        <v>181193</v>
      </c>
      <c r="K135" s="31">
        <f>RDG!J17</f>
        <v>174726</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744653.04</v>
      </c>
      <c r="I137" s="4">
        <f t="shared" si="7"/>
        <v>0</v>
      </c>
      <c r="J137" s="31">
        <f>RDG!I19</f>
        <v>232285</v>
      </c>
      <c r="K137" s="31">
        <f>RDG!J19</f>
        <v>157627</v>
      </c>
    </row>
    <row r="138" spans="4:11" ht="12.75">
      <c r="D138" s="4" t="s">
        <v>541</v>
      </c>
      <c r="E138" s="4">
        <v>2</v>
      </c>
      <c r="F138" s="4">
        <f>RDG!G20</f>
        <v>137</v>
      </c>
      <c r="G138" s="4">
        <f>IF(RDG!H20=0,"",RDG!H20)</f>
      </c>
      <c r="H138" s="30">
        <f t="shared" si="6"/>
        <v>2059926.52</v>
      </c>
      <c r="I138" s="4">
        <f t="shared" si="7"/>
        <v>0</v>
      </c>
      <c r="J138" s="31">
        <f>RDG!I20</f>
        <v>394720</v>
      </c>
      <c r="K138" s="31">
        <f>RDG!J20</f>
        <v>554438</v>
      </c>
    </row>
    <row r="139" spans="4:11" ht="12.75">
      <c r="D139" s="4" t="s">
        <v>541</v>
      </c>
      <c r="E139" s="4">
        <v>2</v>
      </c>
      <c r="F139" s="4">
        <f>RDG!G21</f>
        <v>138</v>
      </c>
      <c r="G139" s="4">
        <f>IF(RDG!H21=0,"",RDG!H21)</f>
      </c>
      <c r="H139" s="30">
        <f t="shared" si="6"/>
        <v>1379457.66</v>
      </c>
      <c r="I139" s="4">
        <f t="shared" si="7"/>
        <v>0</v>
      </c>
      <c r="J139" s="31">
        <f>RDG!I21</f>
        <v>263367</v>
      </c>
      <c r="K139" s="31">
        <f>RDG!J21</f>
        <v>368120</v>
      </c>
    </row>
    <row r="140" spans="4:11" ht="12.75">
      <c r="D140" s="4" t="s">
        <v>541</v>
      </c>
      <c r="E140" s="4">
        <v>2</v>
      </c>
      <c r="F140" s="4">
        <f>RDG!G22</f>
        <v>139</v>
      </c>
      <c r="G140" s="4">
        <f>IF(RDG!H22=0,"",RDG!H22)</f>
      </c>
      <c r="H140" s="30">
        <f t="shared" si="6"/>
        <v>404534.48</v>
      </c>
      <c r="I140" s="4">
        <f t="shared" si="7"/>
        <v>0</v>
      </c>
      <c r="J140" s="31">
        <f>RDG!I22</f>
        <v>75448</v>
      </c>
      <c r="K140" s="31">
        <f>RDG!J22</f>
        <v>107792</v>
      </c>
    </row>
    <row r="141" spans="4:11" ht="12.75">
      <c r="D141" s="4" t="s">
        <v>541</v>
      </c>
      <c r="E141" s="4">
        <v>2</v>
      </c>
      <c r="F141" s="4">
        <f>RDG!G23</f>
        <v>140</v>
      </c>
      <c r="G141" s="4">
        <f>IF(RDG!H23=0,"",RDG!H23)</f>
      </c>
      <c r="H141" s="30">
        <f t="shared" si="6"/>
        <v>298139.8</v>
      </c>
      <c r="I141" s="4">
        <f t="shared" si="7"/>
        <v>0</v>
      </c>
      <c r="J141" s="31">
        <f>RDG!I23</f>
        <v>55905</v>
      </c>
      <c r="K141" s="31">
        <f>RDG!J23</f>
        <v>78526</v>
      </c>
    </row>
    <row r="142" spans="4:11" ht="12.75">
      <c r="D142" s="4" t="s">
        <v>541</v>
      </c>
      <c r="E142" s="4">
        <v>2</v>
      </c>
      <c r="F142" s="4">
        <f>RDG!G24</f>
        <v>141</v>
      </c>
      <c r="G142" s="4">
        <f>IF(RDG!H24=0,"",RDG!H24)</f>
      </c>
      <c r="H142" s="30">
        <f t="shared" si="6"/>
        <v>415902.06000000006</v>
      </c>
      <c r="I142" s="4">
        <f t="shared" si="7"/>
        <v>0</v>
      </c>
      <c r="J142" s="31">
        <f>RDG!I24</f>
        <v>79390</v>
      </c>
      <c r="K142" s="31">
        <f>RDG!J24</f>
        <v>107788</v>
      </c>
    </row>
    <row r="143" spans="4:11" ht="12.75">
      <c r="D143" s="4" t="s">
        <v>541</v>
      </c>
      <c r="E143" s="4">
        <v>2</v>
      </c>
      <c r="F143" s="4">
        <f>RDG!G25</f>
        <v>142</v>
      </c>
      <c r="G143" s="4">
        <f>IF(RDG!H25=0,"",RDG!H25)</f>
      </c>
      <c r="H143" s="30">
        <f t="shared" si="6"/>
        <v>307590.46</v>
      </c>
      <c r="I143" s="4">
        <f t="shared" si="7"/>
        <v>0</v>
      </c>
      <c r="J143" s="31">
        <f>RDG!I25</f>
        <v>59383</v>
      </c>
      <c r="K143" s="31">
        <f>RDG!J25</f>
        <v>78615</v>
      </c>
    </row>
    <row r="144" spans="4:11" ht="12.75">
      <c r="D144" s="4" t="s">
        <v>541</v>
      </c>
      <c r="E144" s="4">
        <v>2</v>
      </c>
      <c r="F144" s="4">
        <f>RDG!G26</f>
        <v>143</v>
      </c>
      <c r="G144" s="4">
        <f>IF(RDG!H26=0,"",RDG!H26)</f>
      </c>
      <c r="H144" s="30">
        <f t="shared" si="6"/>
        <v>37584.689999999995</v>
      </c>
      <c r="I144" s="4">
        <f t="shared" si="7"/>
        <v>0</v>
      </c>
      <c r="J144" s="31">
        <f>RDG!I26</f>
        <v>8291</v>
      </c>
      <c r="K144" s="31">
        <f>RDG!J26</f>
        <v>8996</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38110.35</v>
      </c>
      <c r="I146" s="4">
        <f t="shared" si="7"/>
        <v>0</v>
      </c>
      <c r="J146" s="31">
        <f>RDG!I28</f>
        <v>8291</v>
      </c>
      <c r="K146" s="31">
        <f>RDG!J28</f>
        <v>8996</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0</v>
      </c>
      <c r="I154" s="4">
        <f t="shared" si="7"/>
        <v>0</v>
      </c>
      <c r="J154" s="31">
        <f>RDG!I36</f>
        <v>0</v>
      </c>
      <c r="K154" s="31">
        <f>RDG!J36</f>
        <v>0</v>
      </c>
    </row>
    <row r="155" spans="4:11" ht="12.75">
      <c r="D155" s="4" t="s">
        <v>541</v>
      </c>
      <c r="E155" s="4">
        <v>2</v>
      </c>
      <c r="F155" s="4">
        <f>RDG!G37</f>
        <v>154</v>
      </c>
      <c r="G155" s="4">
        <f>IF(RDG!H37=0,"",RDG!H37)</f>
      </c>
      <c r="H155" s="30">
        <f t="shared" si="6"/>
        <v>102162.06</v>
      </c>
      <c r="I155" s="4">
        <f t="shared" si="7"/>
        <v>0</v>
      </c>
      <c r="J155" s="31">
        <f>RDG!I37</f>
        <v>22503</v>
      </c>
      <c r="K155" s="31">
        <f>RDG!J37</f>
        <v>21918</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4173.12</v>
      </c>
      <c r="I162" s="4">
        <f t="shared" si="7"/>
        <v>0</v>
      </c>
      <c r="J162" s="31">
        <f>RDG!I44</f>
        <v>674</v>
      </c>
      <c r="K162" s="31">
        <f>RDG!J44</f>
        <v>959</v>
      </c>
    </row>
    <row r="163" spans="4:11" ht="12.75">
      <c r="D163" s="4" t="s">
        <v>541</v>
      </c>
      <c r="E163" s="4">
        <v>2</v>
      </c>
      <c r="F163" s="4">
        <f>RDG!G45</f>
        <v>162</v>
      </c>
      <c r="G163" s="4">
        <f>IF(RDG!H45=0,"",RDG!H45)</f>
      </c>
      <c r="H163" s="30">
        <f t="shared" si="6"/>
        <v>3.24</v>
      </c>
      <c r="I163" s="4">
        <f t="shared" si="7"/>
        <v>0</v>
      </c>
      <c r="J163" s="31">
        <f>RDG!I45</f>
        <v>0</v>
      </c>
      <c r="K163" s="31">
        <f>RDG!J45</f>
        <v>1</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104541.8</v>
      </c>
      <c r="I165" s="4">
        <f t="shared" si="7"/>
        <v>0</v>
      </c>
      <c r="J165" s="31">
        <f>RDG!I47</f>
        <v>21829</v>
      </c>
      <c r="K165" s="31">
        <f>RDG!J47</f>
        <v>20958</v>
      </c>
    </row>
    <row r="166" spans="4:11" ht="12.75">
      <c r="D166" s="4" t="s">
        <v>541</v>
      </c>
      <c r="E166" s="4">
        <v>2</v>
      </c>
      <c r="F166" s="4">
        <f>RDG!G48</f>
        <v>165</v>
      </c>
      <c r="G166" s="4">
        <f>IF(RDG!H48=0,"",RDG!H48)</f>
      </c>
      <c r="H166" s="30">
        <f t="shared" si="6"/>
        <v>2400.75</v>
      </c>
      <c r="I166" s="4">
        <f t="shared" si="7"/>
        <v>0</v>
      </c>
      <c r="J166" s="31">
        <f>RDG!I48</f>
        <v>609</v>
      </c>
      <c r="K166" s="31">
        <f>RDG!J48</f>
        <v>423</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1095.36</v>
      </c>
      <c r="I169" s="4">
        <f t="shared" si="7"/>
        <v>0</v>
      </c>
      <c r="J169" s="31">
        <f>RDG!I51</f>
        <v>0</v>
      </c>
      <c r="K169" s="31">
        <f>RDG!J51</f>
        <v>326</v>
      </c>
    </row>
    <row r="170" spans="4:11" ht="12.75">
      <c r="D170" s="4" t="s">
        <v>541</v>
      </c>
      <c r="E170" s="4">
        <v>2</v>
      </c>
      <c r="F170" s="4">
        <f>RDG!G52</f>
        <v>169</v>
      </c>
      <c r="G170" s="4">
        <f>IF(RDG!H52=0,"",RDG!H52)</f>
      </c>
      <c r="H170" s="30">
        <f t="shared" si="6"/>
        <v>74.36</v>
      </c>
      <c r="I170" s="4">
        <f t="shared" si="7"/>
        <v>0</v>
      </c>
      <c r="J170" s="31">
        <f>RDG!I52</f>
        <v>0</v>
      </c>
      <c r="K170" s="31">
        <f>RDG!J52</f>
        <v>22</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1305.48</v>
      </c>
      <c r="I173" s="4">
        <f t="shared" si="7"/>
        <v>0</v>
      </c>
      <c r="J173" s="31">
        <f>RDG!I55</f>
        <v>609</v>
      </c>
      <c r="K173" s="31">
        <f>RDG!J55</f>
        <v>75</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5639133.27</v>
      </c>
      <c r="I178" s="4">
        <f t="shared" si="7"/>
        <v>0</v>
      </c>
      <c r="J178" s="31">
        <f>RDG!I60</f>
        <v>1066489</v>
      </c>
      <c r="K178" s="31">
        <f>RDG!J60</f>
        <v>1059731</v>
      </c>
    </row>
    <row r="179" spans="4:11" ht="12.75">
      <c r="D179" s="4" t="s">
        <v>541</v>
      </c>
      <c r="E179" s="4">
        <v>2</v>
      </c>
      <c r="F179" s="4">
        <f>RDG!G61</f>
        <v>178</v>
      </c>
      <c r="G179" s="4">
        <f>IF(RDG!H61=0,"",RDG!H61)</f>
      </c>
      <c r="H179" s="30">
        <f t="shared" si="6"/>
        <v>5555552.66</v>
      </c>
      <c r="I179" s="4">
        <f t="shared" si="7"/>
        <v>0</v>
      </c>
      <c r="J179" s="31">
        <f>RDG!I61</f>
        <v>955871</v>
      </c>
      <c r="K179" s="31">
        <f>RDG!J61</f>
        <v>1082613</v>
      </c>
    </row>
    <row r="180" spans="4:11" ht="12.75">
      <c r="D180" s="4" t="s">
        <v>541</v>
      </c>
      <c r="E180" s="4">
        <v>2</v>
      </c>
      <c r="F180" s="4">
        <f>RDG!G62</f>
        <v>179</v>
      </c>
      <c r="G180" s="4">
        <f>IF(RDG!H62=0,"",RDG!H62)</f>
      </c>
      <c r="H180" s="30">
        <f t="shared" si="6"/>
        <v>116088.66</v>
      </c>
      <c r="I180" s="4">
        <f t="shared" si="7"/>
        <v>0</v>
      </c>
      <c r="J180" s="31">
        <f>RDG!I62</f>
        <v>110618</v>
      </c>
      <c r="K180" s="31">
        <f>RDG!J62</f>
        <v>-22882</v>
      </c>
    </row>
    <row r="181" spans="4:11" ht="12.75">
      <c r="D181" s="4" t="s">
        <v>541</v>
      </c>
      <c r="E181" s="4">
        <v>2</v>
      </c>
      <c r="F181" s="4">
        <f>RDG!G63</f>
        <v>180</v>
      </c>
      <c r="G181" s="4">
        <f>IF(RDG!H63=0,"",RDG!H63)</f>
      </c>
      <c r="H181" s="30">
        <f t="shared" si="6"/>
        <v>199112.40000000002</v>
      </c>
      <c r="I181" s="4">
        <f t="shared" si="7"/>
        <v>0</v>
      </c>
      <c r="J181" s="31">
        <f>RDG!I63</f>
        <v>110618</v>
      </c>
      <c r="K181" s="31">
        <f>RDG!J63</f>
        <v>0</v>
      </c>
    </row>
    <row r="182" spans="4:11" ht="12.75">
      <c r="D182" s="4" t="s">
        <v>541</v>
      </c>
      <c r="E182" s="4">
        <v>2</v>
      </c>
      <c r="F182" s="4">
        <f>RDG!G64</f>
        <v>181</v>
      </c>
      <c r="G182" s="4">
        <f>IF(RDG!H64=0,"",RDG!H64)</f>
      </c>
      <c r="H182" s="30">
        <f t="shared" si="6"/>
        <v>82832.84</v>
      </c>
      <c r="I182" s="4">
        <f t="shared" si="7"/>
        <v>0</v>
      </c>
      <c r="J182" s="31">
        <f>RDG!I64</f>
        <v>0</v>
      </c>
      <c r="K182" s="31">
        <f>RDG!J64</f>
        <v>22882</v>
      </c>
    </row>
    <row r="183" spans="4:11" ht="12.75">
      <c r="D183" s="4" t="s">
        <v>541</v>
      </c>
      <c r="E183" s="4">
        <v>2</v>
      </c>
      <c r="F183" s="4">
        <f>RDG!G65</f>
        <v>182</v>
      </c>
      <c r="G183" s="4">
        <f>IF(RDG!H65=0,"",RDG!H65)</f>
      </c>
      <c r="H183" s="30">
        <f t="shared" si="6"/>
        <v>23013.9</v>
      </c>
      <c r="I183" s="4">
        <f t="shared" si="7"/>
        <v>0</v>
      </c>
      <c r="J183" s="31">
        <f>RDG!I65</f>
        <v>12645</v>
      </c>
      <c r="K183" s="31">
        <f>RDG!J65</f>
        <v>0</v>
      </c>
    </row>
    <row r="184" spans="4:11" ht="12.75">
      <c r="D184" s="4" t="s">
        <v>541</v>
      </c>
      <c r="E184" s="4">
        <v>2</v>
      </c>
      <c r="F184" s="4">
        <f>RDG!G66</f>
        <v>183</v>
      </c>
      <c r="G184" s="4">
        <f>IF(RDG!H66=0,"",RDG!H66)</f>
      </c>
      <c r="H184" s="30">
        <f t="shared" si="6"/>
        <v>95542.47</v>
      </c>
      <c r="I184" s="4">
        <f t="shared" si="7"/>
        <v>0</v>
      </c>
      <c r="J184" s="31">
        <f>RDG!I66</f>
        <v>97973</v>
      </c>
      <c r="K184" s="31">
        <f>RDG!J66</f>
        <v>-22882</v>
      </c>
    </row>
    <row r="185" spans="4:11" ht="12.75">
      <c r="D185" s="4" t="s">
        <v>541</v>
      </c>
      <c r="E185" s="4">
        <v>2</v>
      </c>
      <c r="F185" s="4">
        <f>RDG!G67</f>
        <v>184</v>
      </c>
      <c r="G185" s="4">
        <f>IF(RDG!H67=0,"",RDG!H67)</f>
      </c>
      <c r="H185" s="30">
        <f t="shared" si="6"/>
        <v>180270.32</v>
      </c>
      <c r="I185" s="4">
        <f t="shared" si="7"/>
        <v>0</v>
      </c>
      <c r="J185" s="31">
        <f>RDG!I67</f>
        <v>97973</v>
      </c>
      <c r="K185" s="31">
        <f>RDG!J67</f>
        <v>0</v>
      </c>
    </row>
    <row r="186" spans="4:11" ht="12.75">
      <c r="D186" s="4" t="s">
        <v>541</v>
      </c>
      <c r="E186" s="4">
        <v>2</v>
      </c>
      <c r="F186" s="4">
        <f>RDG!G68</f>
        <v>185</v>
      </c>
      <c r="G186" s="4">
        <f>IF(RDG!H68=0,"",RDG!H68)</f>
      </c>
      <c r="H186" s="30">
        <f t="shared" si="6"/>
        <v>84663.4</v>
      </c>
      <c r="I186" s="4">
        <f t="shared" si="7"/>
        <v>0</v>
      </c>
      <c r="J186" s="31">
        <f>RDG!I68</f>
        <v>0</v>
      </c>
      <c r="K186" s="31">
        <f>RDG!J68</f>
        <v>22882</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25610.64</v>
      </c>
      <c r="I219" s="4">
        <f>ABS(ROUND(J219,0)-J219)+ABS(ROUND(K219,0)-K219)</f>
        <v>0</v>
      </c>
      <c r="J219" s="31">
        <f>Dodatni!I9</f>
        <v>0</v>
      </c>
      <c r="K219" s="31">
        <f>Dodatni!J9</f>
        <v>5874</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6804151.2</v>
      </c>
      <c r="I232" s="4">
        <f t="shared" si="11"/>
        <v>0</v>
      </c>
      <c r="J232" s="31">
        <f>Dodatni!I25</f>
        <v>981814</v>
      </c>
      <c r="K232" s="31">
        <f>Dodatni!J25</f>
        <v>981853</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4536</v>
      </c>
      <c r="I241" s="4">
        <f t="shared" si="11"/>
        <v>0</v>
      </c>
      <c r="J241" s="31">
        <f>Dodatni!I34</f>
        <v>690</v>
      </c>
      <c r="K241" s="31">
        <f>Dodatni!J34</f>
        <v>600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7132732.200000001</v>
      </c>
      <c r="I243" s="4">
        <f t="shared" si="11"/>
        <v>0</v>
      </c>
      <c r="J243" s="31">
        <f>Dodatni!I37</f>
        <v>982504</v>
      </c>
      <c r="K243" s="31">
        <f>Dodatni!J37</f>
        <v>982453</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593523</v>
      </c>
      <c r="I253" s="4">
        <f t="shared" si="11"/>
        <v>0</v>
      </c>
      <c r="J253" s="31">
        <f>Dodatni!I50</f>
        <v>77751</v>
      </c>
      <c r="K253" s="31">
        <f>Dodatni!J50</f>
        <v>78887</v>
      </c>
    </row>
    <row r="254" spans="4:11" ht="12.75">
      <c r="D254" s="4" t="s">
        <v>1522</v>
      </c>
      <c r="E254" s="4">
        <v>3</v>
      </c>
      <c r="F254" s="4">
        <f>Dodatni!H51</f>
        <v>253</v>
      </c>
      <c r="H254" s="30">
        <f t="shared" si="10"/>
        <v>417682.75999999995</v>
      </c>
      <c r="I254" s="4">
        <f t="shared" si="11"/>
        <v>0</v>
      </c>
      <c r="J254" s="31">
        <f>Dodatni!I51</f>
        <v>41664</v>
      </c>
      <c r="K254" s="31">
        <f>Dodatni!J51</f>
        <v>61714</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80921.32</v>
      </c>
      <c r="I263" s="4">
        <f t="shared" si="11"/>
        <v>0</v>
      </c>
      <c r="J263" s="31">
        <f>Dodatni!I60</f>
        <v>10342</v>
      </c>
      <c r="K263" s="31">
        <f>Dodatni!J60</f>
        <v>10272</v>
      </c>
    </row>
    <row r="264" spans="4:11" ht="12.75">
      <c r="D264" s="4" t="s">
        <v>1522</v>
      </c>
      <c r="E264" s="4">
        <v>3</v>
      </c>
      <c r="F264" s="4">
        <f>Dodatni!H61</f>
        <v>263</v>
      </c>
      <c r="H264" s="30">
        <f t="shared" si="10"/>
        <v>81230.18</v>
      </c>
      <c r="I264" s="4">
        <f t="shared" si="11"/>
        <v>0</v>
      </c>
      <c r="J264" s="31">
        <f>Dodatni!I61</f>
        <v>10342</v>
      </c>
      <c r="K264" s="31">
        <f>Dodatni!J61</f>
        <v>10272</v>
      </c>
    </row>
    <row r="265" spans="4:11" ht="12.75">
      <c r="D265" s="4" t="s">
        <v>1522</v>
      </c>
      <c r="E265" s="4">
        <v>3</v>
      </c>
      <c r="F265" s="4">
        <f>Dodatni!H62</f>
        <v>264</v>
      </c>
      <c r="H265" s="30">
        <f t="shared" si="10"/>
        <v>20137.92</v>
      </c>
      <c r="I265" s="4">
        <f t="shared" si="11"/>
        <v>0</v>
      </c>
      <c r="J265" s="31">
        <f>Dodatni!I62</f>
        <v>5028</v>
      </c>
      <c r="K265" s="31">
        <f>Dodatni!J62</f>
        <v>1300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515587.68000000005</v>
      </c>
      <c r="I268" s="4">
        <f t="shared" si="11"/>
        <v>0</v>
      </c>
      <c r="J268" s="31">
        <f>Dodatni!I65</f>
        <v>50134</v>
      </c>
      <c r="K268" s="31">
        <f>Dodatni!J65</f>
        <v>71485</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7096.6</v>
      </c>
      <c r="I275" s="4">
        <f aca="true" t="shared" si="13" ref="I275:I284">ABS(ROUND(J275,0)-J275)+ABS(ROUND(K275,0)-K275)</f>
        <v>0</v>
      </c>
      <c r="J275" s="31">
        <f>Dodatni!I73</f>
        <v>674</v>
      </c>
      <c r="K275" s="31">
        <f>Dodatni!J73</f>
        <v>958</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1800.5</v>
      </c>
      <c r="I278" s="4">
        <f t="shared" si="13"/>
        <v>0</v>
      </c>
      <c r="J278" s="31">
        <f>Dodatni!I76</f>
        <v>0</v>
      </c>
      <c r="K278" s="31">
        <f>Dodatni!J76</f>
        <v>325</v>
      </c>
    </row>
    <row r="279" spans="4:11" ht="12.75">
      <c r="D279" s="4" t="s">
        <v>1522</v>
      </c>
      <c r="E279" s="4">
        <v>3</v>
      </c>
      <c r="F279" s="4">
        <f>Dodatni!H78</f>
        <v>278</v>
      </c>
      <c r="H279" s="30">
        <f t="shared" si="12"/>
        <v>1180971.8</v>
      </c>
      <c r="I279" s="4">
        <f t="shared" si="13"/>
        <v>0</v>
      </c>
      <c r="J279" s="31">
        <f>Dodatni!I78</f>
        <v>343650</v>
      </c>
      <c r="K279" s="31">
        <f>Dodatni!J78</f>
        <v>40580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652288</v>
      </c>
      <c r="I281" s="4">
        <f t="shared" si="13"/>
        <v>0</v>
      </c>
      <c r="J281" s="31">
        <f>Dodatni!I80</f>
        <v>151800</v>
      </c>
      <c r="K281" s="31">
        <f>Dodatni!J80</f>
        <v>40580</v>
      </c>
    </row>
    <row r="282" spans="4:11" ht="12.75">
      <c r="D282" s="4" t="s">
        <v>1522</v>
      </c>
      <c r="E282" s="4">
        <v>3</v>
      </c>
      <c r="F282" s="4">
        <f>Dodatni!H81</f>
        <v>281</v>
      </c>
      <c r="H282" s="30">
        <f t="shared" si="12"/>
        <v>539098.5</v>
      </c>
      <c r="I282" s="4">
        <f t="shared" si="13"/>
        <v>0</v>
      </c>
      <c r="J282" s="31">
        <f>Dodatni!I81</f>
        <v>191850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1036060.4</v>
      </c>
      <c r="I285" s="4">
        <f aca="true" t="shared" si="15" ref="I285:I291">ABS(ROUND(J285,0)-J285)+ABS(ROUND(K285,0)-K285)</f>
        <v>0</v>
      </c>
      <c r="J285" s="31">
        <f>Dodatni!I84</f>
        <v>343650</v>
      </c>
      <c r="K285" s="31">
        <f>Dodatni!J84</f>
        <v>10580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2.87</v>
      </c>
      <c r="I288" s="4">
        <f t="shared" si="15"/>
        <v>0</v>
      </c>
      <c r="J288" s="31">
        <f>Dodatni!I88</f>
        <v>1</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66" activePane="bottomLeft" state="frozen"/>
      <selection pane="topLeft" activeCell="A2" sqref="A2"/>
      <selection pane="bottomLeft" activeCell="C2" sqref="C2"/>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KOMUNALAC d.o.o. za komunalne djelatnosti</v>
      </c>
      <c r="X2" s="209" t="s">
        <v>207</v>
      </c>
      <c r="Y2" s="231">
        <f>IF(RefStr!C54&lt;&gt;"",RefStr!C54,"")</f>
        <v>100</v>
      </c>
      <c r="Z2" s="209" t="s">
        <v>2326</v>
      </c>
      <c r="AA2" s="231">
        <f>IF(RefStr!B64="","",RefStr!B64)</f>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1</v>
      </c>
      <c r="T3" s="211" t="s">
        <v>777</v>
      </c>
      <c r="U3" s="232">
        <f>RefStr!L21</f>
        <v>0</v>
      </c>
      <c r="V3" s="211" t="s">
        <v>2355</v>
      </c>
      <c r="W3" s="232">
        <f>RefStr!C31</f>
        <v>44450</v>
      </c>
      <c r="X3" s="211" t="s">
        <v>208</v>
      </c>
      <c r="Y3" s="232">
        <f>IF(RefStr!F54&lt;&gt;"",RefStr!F54,"")</f>
        <v>0</v>
      </c>
      <c r="Z3" s="211" t="s">
        <v>2327</v>
      </c>
      <c r="AA3" s="232">
        <f>IF(RefStr!B66="","",RefStr!B66)</f>
      </c>
    </row>
    <row r="4" spans="1:27" ht="13.5" customHeight="1">
      <c r="A4" s="499"/>
      <c r="B4" s="500"/>
      <c r="C4" s="500"/>
      <c r="D4" s="500"/>
      <c r="E4" s="500"/>
      <c r="F4" s="500"/>
      <c r="G4" s="500"/>
      <c r="H4" s="500"/>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88124811471</v>
      </c>
      <c r="V4" s="211" t="s">
        <v>2356</v>
      </c>
      <c r="W4" s="232" t="str">
        <f>RefStr!F31</f>
        <v>Hrvatska Dubica</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3</v>
      </c>
      <c r="T5" s="211" t="s">
        <v>2352</v>
      </c>
      <c r="U5" s="232" t="str">
        <f>RefStr!H27</f>
        <v>02702568</v>
      </c>
      <c r="V5" s="211" t="s">
        <v>2357</v>
      </c>
      <c r="W5" s="232" t="str">
        <f>RefStr!C33</f>
        <v>P. Berislavića 39</v>
      </c>
      <c r="X5" s="234" t="s">
        <v>2517</v>
      </c>
      <c r="Y5" s="235" t="str">
        <f>RefStr!I62</f>
        <v>NE</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120011855</v>
      </c>
      <c r="V6" s="211" t="s">
        <v>2568</v>
      </c>
      <c r="W6" s="232" t="str">
        <f>RefStr!L35</f>
        <v>044855422</v>
      </c>
      <c r="X6" s="211" t="s">
        <v>2514</v>
      </c>
      <c r="Y6" s="232" t="str">
        <f>RefStr!C68</f>
        <v>SABINE BLAŽEVIĆ</v>
      </c>
      <c r="Z6" s="211" t="s">
        <v>1415</v>
      </c>
      <c r="AA6" s="232">
        <f>RefStr!C46</f>
        <v>0</v>
      </c>
    </row>
    <row r="7" spans="1:27" ht="13.5" customHeight="1">
      <c r="A7" s="499"/>
      <c r="B7" s="500"/>
      <c r="C7" s="500"/>
      <c r="D7" s="500"/>
      <c r="E7" s="500"/>
      <c r="F7" s="500"/>
      <c r="G7" s="500"/>
      <c r="H7" s="500"/>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1</v>
      </c>
      <c r="V7" s="211" t="s">
        <v>1193</v>
      </c>
      <c r="W7" s="232" t="str">
        <f>TRIM(UPPER(RefStr!C35))</f>
        <v>KOMUNALAC@SK.T-COM.HR</v>
      </c>
      <c r="X7" s="211" t="s">
        <v>2515</v>
      </c>
      <c r="Y7" s="232" t="str">
        <f>RefStr!C70</f>
        <v>044855422</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43831</v>
      </c>
      <c r="T8" s="211" t="s">
        <v>1861</v>
      </c>
      <c r="U8" s="232" t="str">
        <f>RefStr!D7</f>
        <v>Javno trgovačko društvo</v>
      </c>
      <c r="V8" s="211" t="s">
        <v>2574</v>
      </c>
      <c r="W8" s="232" t="str">
        <f>RefStr!C42</f>
        <v>3811</v>
      </c>
      <c r="X8" s="211" t="s">
        <v>2516</v>
      </c>
      <c r="Y8" s="232" t="str">
        <f>TRIM(UPPER(RefStr!C72))</f>
        <v>KOMUNALAC@SK.T-COM.HR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6</v>
      </c>
      <c r="Q9" s="231">
        <f>RefStr!F58</f>
        <v>7</v>
      </c>
      <c r="R9" s="211" t="s">
        <v>1860</v>
      </c>
      <c r="S9" s="232">
        <f>IF(RefStr!F4&lt;&gt;"",RefStr!F4,0)</f>
        <v>44196</v>
      </c>
      <c r="T9" s="211" t="s">
        <v>1821</v>
      </c>
      <c r="U9" s="232">
        <f>RefStr!C39</f>
        <v>149</v>
      </c>
      <c r="V9" s="211" t="s">
        <v>1414</v>
      </c>
      <c r="W9" s="232" t="str">
        <f>RefStr!D42</f>
        <v>Skupljanje neopasnog otpada</v>
      </c>
      <c r="X9" s="238" t="s">
        <v>221</v>
      </c>
      <c r="Y9" s="239" t="str">
        <f>RefStr!I66</f>
        <v>DA</v>
      </c>
      <c r="Z9" s="236" t="s">
        <v>219</v>
      </c>
      <c r="AA9" s="237" t="str">
        <f>RefStr!I64</f>
        <v>NE</v>
      </c>
    </row>
    <row r="10" spans="1:27" ht="13.5" customHeight="1">
      <c r="A10" s="510"/>
      <c r="B10" s="510"/>
      <c r="C10" s="510"/>
      <c r="D10" s="510"/>
      <c r="E10" s="510"/>
      <c r="F10" s="510"/>
      <c r="G10" s="510"/>
      <c r="H10" s="510"/>
      <c r="I10" s="510"/>
      <c r="J10" s="510"/>
      <c r="L10" s="195"/>
      <c r="M10" s="195"/>
      <c r="O10" s="230" t="s">
        <v>2123</v>
      </c>
      <c r="P10" s="213">
        <f>RefStr!C56</f>
        <v>6</v>
      </c>
      <c r="Q10" s="233">
        <f>RefStr!F56</f>
        <v>7</v>
      </c>
      <c r="R10" s="213" t="s">
        <v>1863</v>
      </c>
      <c r="S10" s="233">
        <f>RefStr!C23</f>
        <v>1</v>
      </c>
      <c r="T10" s="213" t="s">
        <v>2573</v>
      </c>
      <c r="U10" s="233" t="str">
        <f>RefStr!D39</f>
        <v>Hrvatska Dubica</v>
      </c>
      <c r="V10" s="240"/>
      <c r="W10" s="241"/>
      <c r="X10" s="242" t="s">
        <v>1974</v>
      </c>
      <c r="Y10" s="243">
        <f>RefStr!F12</f>
        <v>2020</v>
      </c>
      <c r="Z10" s="213" t="s">
        <v>209</v>
      </c>
      <c r="AA10" s="233" t="str">
        <f>RefStr!A75</f>
        <v>MATEA MIKULČIĆ</v>
      </c>
    </row>
    <row r="11" spans="1:25" ht="13.5" customHeight="1">
      <c r="A11" s="511" t="s">
        <v>642</v>
      </c>
      <c r="B11" s="512"/>
      <c r="C11" s="512"/>
      <c r="D11" s="512"/>
      <c r="E11" s="512"/>
      <c r="F11" s="512"/>
      <c r="G11" s="512"/>
      <c r="H11" s="512"/>
      <c r="I11" s="512"/>
      <c r="J11" s="513"/>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4" t="s">
        <v>516</v>
      </c>
      <c r="B42" s="515"/>
      <c r="C42" s="515"/>
      <c r="D42" s="515"/>
      <c r="E42" s="515"/>
      <c r="F42" s="515"/>
      <c r="G42" s="515"/>
      <c r="H42" s="515"/>
      <c r="I42" s="515"/>
      <c r="J42" s="516"/>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2666</v>
      </c>
      <c r="Q50" s="202">
        <f>IF(Bilanca!I73&gt;2600000,1,0)</f>
        <v>0</v>
      </c>
      <c r="R50" s="201">
        <f>IF(RDG!I60&gt;5200000,1,0)</f>
        <v>0</v>
      </c>
      <c r="S50" s="201">
        <f>IF(P10&gt;10,1,0)</f>
        <v>0</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2666</v>
      </c>
      <c r="AE50" s="202">
        <f>IF(Bilanca!J73&gt;2600000,1,0)</f>
        <v>0</v>
      </c>
      <c r="AF50" s="201">
        <f>IF(S9&gt;S8,IF(RDG!J60*365/(S9-S8)&gt;5200000,1,0),0)</f>
        <v>0</v>
      </c>
      <c r="AG50" s="201">
        <f>IF(Q10&gt;10,1,0)</f>
        <v>0</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6"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3" t="s">
        <v>114</v>
      </c>
      <c r="B73" s="494"/>
      <c r="C73" s="494"/>
      <c r="D73" s="494"/>
      <c r="E73" s="494"/>
      <c r="F73" s="494"/>
      <c r="G73" s="494"/>
      <c r="H73" s="494"/>
      <c r="I73" s="494"/>
      <c r="J73" s="495"/>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C:\Users\Ekasa\Documents\ZAVRŠNI RAČUNI KOMUNALAC\Završni račun 2020\[Copy of GFI-POD, Godišnji financijski izvještaj poduzetnika.xls]Dodatni</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2:J12"/>
    <mergeCell ref="C46:J46"/>
    <mergeCell ref="C63:J63"/>
    <mergeCell ref="C44:J44"/>
    <mergeCell ref="C58:J58"/>
    <mergeCell ref="A11:J11"/>
    <mergeCell ref="A9:B10"/>
    <mergeCell ref="C40:J40"/>
    <mergeCell ref="C52:J52"/>
    <mergeCell ref="C53:J53"/>
    <mergeCell ref="C43:J43"/>
    <mergeCell ref="A42:J42"/>
    <mergeCell ref="A3:H8"/>
    <mergeCell ref="I8:J8"/>
    <mergeCell ref="I3:J3"/>
    <mergeCell ref="I5:J5"/>
    <mergeCell ref="I6:J6"/>
    <mergeCell ref="C9:J10"/>
    <mergeCell ref="C109:J109"/>
    <mergeCell ref="C56:J56"/>
    <mergeCell ref="C98:J98"/>
    <mergeCell ref="C91:J91"/>
    <mergeCell ref="C92:J92"/>
    <mergeCell ref="C93:J93"/>
    <mergeCell ref="C94:J94"/>
    <mergeCell ref="C102:J102"/>
    <mergeCell ref="C105:J105"/>
    <mergeCell ref="C59:J59"/>
    <mergeCell ref="C101:J101"/>
    <mergeCell ref="C100:J100"/>
    <mergeCell ref="C80:J80"/>
    <mergeCell ref="C78:J78"/>
    <mergeCell ref="C77:J77"/>
    <mergeCell ref="C66:J66"/>
    <mergeCell ref="C68:J68"/>
    <mergeCell ref="C70:J70"/>
    <mergeCell ref="C67:J67"/>
    <mergeCell ref="C69:J69"/>
    <mergeCell ref="A73:J73"/>
    <mergeCell ref="C47:J47"/>
    <mergeCell ref="C104:J104"/>
    <mergeCell ref="C103:J103"/>
    <mergeCell ref="C76:J76"/>
    <mergeCell ref="C90:J90"/>
    <mergeCell ref="C89:J89"/>
    <mergeCell ref="C75:J75"/>
    <mergeCell ref="C57:J57"/>
    <mergeCell ref="C74:J74"/>
    <mergeCell ref="C48:J48"/>
    <mergeCell ref="C54:J54"/>
    <mergeCell ref="C55:J55"/>
    <mergeCell ref="C60:J60"/>
    <mergeCell ref="C61:J61"/>
    <mergeCell ref="C62:J62"/>
    <mergeCell ref="C71:J71"/>
    <mergeCell ref="C97:J97"/>
    <mergeCell ref="C84:J84"/>
    <mergeCell ref="C45:J45"/>
    <mergeCell ref="C50:J50"/>
    <mergeCell ref="C79:J79"/>
    <mergeCell ref="C95:J95"/>
    <mergeCell ref="C96:J96"/>
    <mergeCell ref="C49:J49"/>
    <mergeCell ref="C51:J51"/>
    <mergeCell ref="C72:J72"/>
    <mergeCell ref="C88:J88"/>
    <mergeCell ref="C82:J82"/>
    <mergeCell ref="C86:J86"/>
    <mergeCell ref="C87:J87"/>
    <mergeCell ref="C83:J83"/>
    <mergeCell ref="C85:J85"/>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20:J20"/>
    <mergeCell ref="C38:J38"/>
    <mergeCell ref="C36:J36"/>
    <mergeCell ref="C37:J37"/>
    <mergeCell ref="C25:J25"/>
    <mergeCell ref="C27:J27"/>
    <mergeCell ref="C26:J26"/>
    <mergeCell ref="C34:J34"/>
    <mergeCell ref="C35:J35"/>
    <mergeCell ref="C32:J32"/>
    <mergeCell ref="C21:J21"/>
    <mergeCell ref="C22:J22"/>
    <mergeCell ref="C23:J23"/>
    <mergeCell ref="C31:J31"/>
    <mergeCell ref="C28:J28"/>
    <mergeCell ref="C30:J30"/>
    <mergeCell ref="C33:J33"/>
    <mergeCell ref="C29:J29"/>
    <mergeCell ref="C13:J13"/>
    <mergeCell ref="C18:J18"/>
    <mergeCell ref="C16:J16"/>
    <mergeCell ref="C17:J17"/>
    <mergeCell ref="C15:J15"/>
    <mergeCell ref="C19:J19"/>
    <mergeCell ref="C24:J24"/>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34" activePane="bottomLeft" state="frozen"/>
      <selection pane="topLeft" activeCell="A1" sqref="A1"/>
      <selection pane="bottomLeft" activeCell="D1" sqref="D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2020</v>
      </c>
    </row>
    <row r="2" spans="1:17" s="148" customFormat="1" ht="60" customHeight="1">
      <c r="A2" s="365" t="s">
        <v>1057</v>
      </c>
      <c r="B2" s="366"/>
      <c r="C2" s="366"/>
      <c r="D2" s="366"/>
      <c r="E2" s="366"/>
      <c r="F2" s="366"/>
      <c r="G2" s="366"/>
      <c r="H2" s="366"/>
      <c r="I2" s="366"/>
      <c r="J2" s="366"/>
      <c r="K2" s="366"/>
      <c r="L2" s="366"/>
      <c r="M2" s="366"/>
      <c r="N2" s="367"/>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43831</v>
      </c>
      <c r="D4" s="361"/>
      <c r="E4" s="10" t="s">
        <v>1527</v>
      </c>
      <c r="F4" s="360">
        <v>44196</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1</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21.7</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57.2</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2020</v>
      </c>
      <c r="G12" s="349"/>
      <c r="H12" s="341" t="s">
        <v>2105</v>
      </c>
      <c r="I12" s="342"/>
      <c r="J12" s="342"/>
      <c r="K12" s="156"/>
      <c r="L12" s="156"/>
      <c r="M12" s="156"/>
      <c r="N12" s="156"/>
      <c r="P12" s="54" t="s">
        <v>2353</v>
      </c>
      <c r="Q12" s="55">
        <f>INT(VALUE(H27))/10</f>
        <v>270256.8</v>
      </c>
    </row>
    <row r="13" spans="4:17" ht="9.75" customHeight="1">
      <c r="D13" s="156"/>
      <c r="E13" s="162"/>
      <c r="H13" s="27"/>
      <c r="I13" s="163"/>
      <c r="J13" s="163"/>
      <c r="K13" s="156"/>
      <c r="L13" s="156"/>
      <c r="M13" s="156"/>
      <c r="N13" s="156"/>
      <c r="P13" s="54" t="s">
        <v>2353</v>
      </c>
      <c r="Q13" s="55">
        <f>INT(VALUE(M27))/50</f>
        <v>2400237.1</v>
      </c>
    </row>
    <row r="14" spans="1:17" ht="15">
      <c r="A14" s="340" t="s">
        <v>2714</v>
      </c>
      <c r="B14" s="340"/>
      <c r="C14" s="340"/>
      <c r="D14" s="164"/>
      <c r="E14" s="165"/>
      <c r="F14" s="338"/>
      <c r="G14" s="339"/>
      <c r="H14" s="339"/>
      <c r="I14" s="156"/>
      <c r="J14" s="346" t="s">
        <v>2100</v>
      </c>
      <c r="K14" s="347"/>
      <c r="L14" s="347"/>
      <c r="M14" s="347"/>
      <c r="N14" s="347"/>
      <c r="P14" s="54" t="s">
        <v>2718</v>
      </c>
      <c r="Q14" s="55">
        <f>INT(VALUE(C27))/100</f>
        <v>881248114.71</v>
      </c>
    </row>
    <row r="15" spans="1:17" ht="19.5" customHeight="1">
      <c r="A15" s="343">
        <f>Skriveni!B59</f>
        <v>944538998.4200001</v>
      </c>
      <c r="B15" s="344"/>
      <c r="C15" s="345"/>
      <c r="D15" s="60"/>
      <c r="E15" s="60"/>
      <c r="F15" s="60"/>
      <c r="G15" s="60"/>
      <c r="H15" s="60"/>
      <c r="I15" s="60"/>
      <c r="J15" s="60"/>
      <c r="K15" s="60"/>
      <c r="L15" s="60"/>
      <c r="M15" s="60"/>
      <c r="N15" s="60"/>
      <c r="P15" s="54" t="s">
        <v>1817</v>
      </c>
      <c r="Q15" s="55">
        <f>LEN(Skriveni!B9)</f>
        <v>41</v>
      </c>
    </row>
    <row r="16" spans="4:17" ht="12.75" customHeight="1">
      <c r="D16" s="60"/>
      <c r="E16" s="60"/>
      <c r="F16" s="60"/>
      <c r="G16" s="60"/>
      <c r="H16" s="60"/>
      <c r="I16" s="60"/>
      <c r="P16" s="54" t="s">
        <v>1818</v>
      </c>
      <c r="Q16" s="55">
        <f>INT(VALUE(C31))/100</f>
        <v>444.5</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15</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3</v>
      </c>
      <c r="D19" s="276"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77"/>
      <c r="F19" s="277"/>
      <c r="G19" s="277"/>
      <c r="H19" s="277"/>
      <c r="I19" s="278" t="s">
        <v>1729</v>
      </c>
      <c r="J19" s="279"/>
      <c r="K19" s="279"/>
      <c r="L19" s="279"/>
      <c r="M19" s="279"/>
      <c r="N19" s="36" t="s">
        <v>2139</v>
      </c>
      <c r="P19" s="54" t="s">
        <v>1820</v>
      </c>
      <c r="Q19" s="55">
        <f>LEN(Skriveni!B12)</f>
        <v>17</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2619</v>
      </c>
      <c r="J21" s="283" t="s">
        <v>2110</v>
      </c>
      <c r="K21" s="279"/>
      <c r="L21" s="284"/>
      <c r="M21" s="285"/>
      <c r="N21" s="286"/>
      <c r="P21" s="54" t="s">
        <v>1821</v>
      </c>
      <c r="Q21" s="55">
        <f>INT(VALUE(C39))</f>
        <v>149</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3811</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2953</v>
      </c>
      <c r="D27" s="378"/>
      <c r="E27" s="286"/>
      <c r="F27" s="290" t="s">
        <v>2406</v>
      </c>
      <c r="G27" s="322"/>
      <c r="H27" s="284" t="s">
        <v>2954</v>
      </c>
      <c r="I27" s="289"/>
      <c r="J27" s="290" t="s">
        <v>2099</v>
      </c>
      <c r="K27" s="291"/>
      <c r="L27" s="292"/>
      <c r="M27" s="284" t="s">
        <v>2955</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2956</v>
      </c>
      <c r="D29" s="324"/>
      <c r="E29" s="324"/>
      <c r="F29" s="324"/>
      <c r="G29" s="324"/>
      <c r="H29" s="324"/>
      <c r="I29" s="324"/>
      <c r="J29" s="324"/>
      <c r="K29" s="324"/>
      <c r="L29" s="325"/>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44450</v>
      </c>
      <c r="D31" s="329" t="s">
        <v>693</v>
      </c>
      <c r="E31" s="330"/>
      <c r="F31" s="323" t="s">
        <v>2721</v>
      </c>
      <c r="G31" s="331"/>
      <c r="H31" s="331"/>
      <c r="I31" s="331"/>
      <c r="J31" s="331"/>
      <c r="K31" s="331"/>
      <c r="L31" s="332"/>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2957</v>
      </c>
      <c r="D33" s="324"/>
      <c r="E33" s="324"/>
      <c r="F33" s="324"/>
      <c r="G33" s="324"/>
      <c r="H33" s="324"/>
      <c r="I33" s="324"/>
      <c r="J33" s="324"/>
      <c r="K33" s="324"/>
      <c r="L33" s="325"/>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2958</v>
      </c>
      <c r="D35" s="334"/>
      <c r="E35" s="334"/>
      <c r="F35" s="334"/>
      <c r="G35" s="334"/>
      <c r="H35" s="334"/>
      <c r="I35" s="335"/>
      <c r="J35" s="275" t="s">
        <v>188</v>
      </c>
      <c r="K35" s="278"/>
      <c r="L35" s="284" t="s">
        <v>2959</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149</v>
      </c>
      <c r="D39" s="326" t="str">
        <f>IF(C39="","Šifra grada/općine nije upisana",IF(ISNA(LOOKUP(C39,A177:A732,A177:A732)),"Šifra grada/općine ne postoji",IF(LOOKUP(C39,A177:A732,A177:A732)&lt;&gt;C39,"Šifra grada/općine ne postoji",LOOKUP(C39,A177:A732,B177:B732))))</f>
        <v>Hrvatska Dubica</v>
      </c>
      <c r="E39" s="327"/>
      <c r="F39" s="327"/>
      <c r="G39" s="327"/>
      <c r="H39" s="314" t="s">
        <v>2222</v>
      </c>
      <c r="I39" s="292"/>
      <c r="J39" s="58">
        <f>IF(C39&gt;0,LOOKUP(C39,A177:A732,C177:C732),"")</f>
        <v>3</v>
      </c>
      <c r="K39" s="315" t="str">
        <f>IF(J39="","Treba prvo upisati šifru grada/općine",LOOKUP(J39,A153:A173,B153:B173))</f>
        <v>SISAČKO-MOSLAVAČKA</v>
      </c>
      <c r="L39" s="315"/>
      <c r="M39" s="315"/>
      <c r="N39" s="315"/>
      <c r="P39" s="54" t="s">
        <v>1826</v>
      </c>
      <c r="Q39" s="55">
        <f>C56+2*F56+3*C58+4*F58</f>
        <v>66</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2049</v>
      </c>
      <c r="D42" s="317" t="str">
        <f>IF(C42="","Šifra NKD-a nije upisana",IF(ISNA(LOOKUP(C42,A736:A1351,A736:A1351)),"Šifra NKD-a ne postoji",IF(LOOKUP(C42,A736:A1351,A736:A1351)&lt;&gt;C42,"Šifra NKD-a ne postoji",LOOKUP(C42,A736:A1351,B736:B1351))))</f>
        <v>Skupljanje neopasnog otpada</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14</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1</v>
      </c>
      <c r="D50" s="270" t="str">
        <f>IF(C50="","Oznaka veličine nije upisana",IF(ISNA(LOOKUP(C50,A124:A127,A124:A127)),"Nepostojeća oznaka veličine",IF(LOOKUP(C50,A124:A127,A124:A127)&lt;&gt;C50,"Nepostojeća oznaka veličine",LOOKUP(C50,A124:A127,B124:B127))))</f>
        <v>Mikro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DA</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6</v>
      </c>
      <c r="D56" s="272" t="s">
        <v>2898</v>
      </c>
      <c r="E56" s="273"/>
      <c r="F56" s="44">
        <v>7</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6</v>
      </c>
      <c r="D58" s="309" t="s">
        <v>2898</v>
      </c>
      <c r="E58" s="309"/>
      <c r="F58" s="44">
        <v>7</v>
      </c>
      <c r="G58" s="309" t="s">
        <v>2899</v>
      </c>
      <c r="H58" s="309"/>
      <c r="I58" s="5" t="str">
        <f>IF(OR(NT_I!Q1&lt;&gt;0,NT_D!Q1&lt;&gt;0),"DA","NE")</f>
        <v>NE</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NE</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10" t="s">
        <v>2116</v>
      </c>
      <c r="D64" s="302"/>
      <c r="E64" s="302"/>
      <c r="F64" s="302"/>
      <c r="G64" s="156"/>
      <c r="H64" s="156"/>
      <c r="I64" s="226" t="s">
        <v>2619</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2960</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2959</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2958</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2961</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97" activePane="bottomLeft" state="frozen"/>
      <selection pane="topLeft" activeCell="A1" sqref="A1"/>
      <selection pane="bottomLeft" activeCell="E1" sqref="E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31.12.2020.</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88124811471; KOMUNALAC d.o.o. za komunalne djelatnosti</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360235</v>
      </c>
      <c r="J10" s="70">
        <f>J11+J18+J28+J39+J44</f>
        <v>253992</v>
      </c>
    </row>
    <row r="11" spans="1:10" ht="13.5" customHeight="1">
      <c r="A11" s="382" t="s">
        <v>1850</v>
      </c>
      <c r="B11" s="382"/>
      <c r="C11" s="382"/>
      <c r="D11" s="382"/>
      <c r="E11" s="382"/>
      <c r="F11" s="382"/>
      <c r="G11" s="19">
        <v>3</v>
      </c>
      <c r="H11" s="20"/>
      <c r="I11" s="70">
        <f>SUM(I12:I17)</f>
        <v>10378</v>
      </c>
      <c r="J11" s="70">
        <f>SUM(J12:J17)</f>
        <v>6797</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v>10378</v>
      </c>
      <c r="J13" s="71">
        <v>6797</v>
      </c>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c r="J16" s="71"/>
    </row>
    <row r="17" spans="1:10" ht="13.5" customHeight="1">
      <c r="A17" s="381" t="s">
        <v>969</v>
      </c>
      <c r="B17" s="381"/>
      <c r="C17" s="381"/>
      <c r="D17" s="381"/>
      <c r="E17" s="381"/>
      <c r="F17" s="381"/>
      <c r="G17" s="19">
        <v>9</v>
      </c>
      <c r="H17" s="20"/>
      <c r="I17" s="71"/>
      <c r="J17" s="71"/>
    </row>
    <row r="18" spans="1:10" ht="13.5" customHeight="1">
      <c r="A18" s="382" t="s">
        <v>731</v>
      </c>
      <c r="B18" s="382"/>
      <c r="C18" s="382"/>
      <c r="D18" s="382"/>
      <c r="E18" s="382"/>
      <c r="F18" s="382"/>
      <c r="G18" s="19">
        <v>10</v>
      </c>
      <c r="H18" s="20"/>
      <c r="I18" s="70">
        <f>SUM(I19:I27)</f>
        <v>349857</v>
      </c>
      <c r="J18" s="70">
        <f>SUM(J19:J27)</f>
        <v>247195</v>
      </c>
    </row>
    <row r="19" spans="1:10" ht="13.5" customHeight="1">
      <c r="A19" s="381" t="s">
        <v>2176</v>
      </c>
      <c r="B19" s="381"/>
      <c r="C19" s="381"/>
      <c r="D19" s="381"/>
      <c r="E19" s="381"/>
      <c r="F19" s="381"/>
      <c r="G19" s="19">
        <v>11</v>
      </c>
      <c r="H19" s="20"/>
      <c r="I19" s="71">
        <v>43070</v>
      </c>
      <c r="J19" s="71">
        <v>4034</v>
      </c>
    </row>
    <row r="20" spans="1:10" ht="13.5" customHeight="1">
      <c r="A20" s="381" t="s">
        <v>543</v>
      </c>
      <c r="B20" s="381"/>
      <c r="C20" s="381"/>
      <c r="D20" s="381"/>
      <c r="E20" s="381"/>
      <c r="F20" s="381"/>
      <c r="G20" s="19">
        <v>12</v>
      </c>
      <c r="H20" s="20"/>
      <c r="I20" s="71"/>
      <c r="J20" s="71"/>
    </row>
    <row r="21" spans="1:10" ht="13.5" customHeight="1">
      <c r="A21" s="381" t="s">
        <v>2177</v>
      </c>
      <c r="B21" s="381"/>
      <c r="C21" s="381"/>
      <c r="D21" s="381"/>
      <c r="E21" s="381"/>
      <c r="F21" s="381"/>
      <c r="G21" s="19">
        <v>13</v>
      </c>
      <c r="H21" s="20"/>
      <c r="I21" s="71">
        <v>158903</v>
      </c>
      <c r="J21" s="71">
        <v>143239</v>
      </c>
    </row>
    <row r="22" spans="1:10" ht="13.5" customHeight="1">
      <c r="A22" s="381" t="s">
        <v>2290</v>
      </c>
      <c r="B22" s="381"/>
      <c r="C22" s="381"/>
      <c r="D22" s="381"/>
      <c r="E22" s="381"/>
      <c r="F22" s="381"/>
      <c r="G22" s="19">
        <v>14</v>
      </c>
      <c r="H22" s="20"/>
      <c r="I22" s="71">
        <v>147884</v>
      </c>
      <c r="J22" s="71">
        <v>99922</v>
      </c>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c r="J24" s="71"/>
    </row>
    <row r="25" spans="1:10" ht="13.5" customHeight="1">
      <c r="A25" s="381" t="s">
        <v>1083</v>
      </c>
      <c r="B25" s="381"/>
      <c r="C25" s="381"/>
      <c r="D25" s="381"/>
      <c r="E25" s="381"/>
      <c r="F25" s="381"/>
      <c r="G25" s="19">
        <v>17</v>
      </c>
      <c r="H25" s="20"/>
      <c r="I25" s="71"/>
      <c r="J25" s="71"/>
    </row>
    <row r="26" spans="1:10" ht="13.5" customHeight="1">
      <c r="A26" s="381" t="s">
        <v>1084</v>
      </c>
      <c r="B26" s="381"/>
      <c r="C26" s="381"/>
      <c r="D26" s="381"/>
      <c r="E26" s="381"/>
      <c r="F26" s="381"/>
      <c r="G26" s="19">
        <v>18</v>
      </c>
      <c r="H26" s="20"/>
      <c r="I26" s="71"/>
      <c r="J26" s="71"/>
    </row>
    <row r="27" spans="1:10" ht="13.5" customHeight="1">
      <c r="A27" s="381" t="s">
        <v>1085</v>
      </c>
      <c r="B27" s="381"/>
      <c r="C27" s="381"/>
      <c r="D27" s="381"/>
      <c r="E27" s="381"/>
      <c r="F27" s="381"/>
      <c r="G27" s="19">
        <v>19</v>
      </c>
      <c r="H27" s="20"/>
      <c r="I27" s="71"/>
      <c r="J27" s="71"/>
    </row>
    <row r="28" spans="1:10" ht="13.5" customHeight="1">
      <c r="A28" s="382" t="s">
        <v>2644</v>
      </c>
      <c r="B28" s="382"/>
      <c r="C28" s="382"/>
      <c r="D28" s="382"/>
      <c r="E28" s="382"/>
      <c r="F28" s="382"/>
      <c r="G28" s="19">
        <v>20</v>
      </c>
      <c r="H28" s="20"/>
      <c r="I28" s="70">
        <f>SUM(I29:I38)</f>
        <v>0</v>
      </c>
      <c r="J28" s="70">
        <f>SUM(J29:J38)</f>
        <v>0</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382367</v>
      </c>
      <c r="J45" s="70">
        <f>J46+J54+J61+J71</f>
        <v>367598</v>
      </c>
    </row>
    <row r="46" spans="1:10" ht="13.5" customHeight="1">
      <c r="A46" s="382" t="s">
        <v>2647</v>
      </c>
      <c r="B46" s="382"/>
      <c r="C46" s="382"/>
      <c r="D46" s="382"/>
      <c r="E46" s="382"/>
      <c r="F46" s="382"/>
      <c r="G46" s="19">
        <v>38</v>
      </c>
      <c r="H46" s="20"/>
      <c r="I46" s="70">
        <f>SUM(I47:I53)</f>
        <v>37241</v>
      </c>
      <c r="J46" s="70">
        <f>SUM(J47:J53)</f>
        <v>53329</v>
      </c>
    </row>
    <row r="47" spans="1:10" ht="13.5" customHeight="1">
      <c r="A47" s="381" t="s">
        <v>970</v>
      </c>
      <c r="B47" s="381"/>
      <c r="C47" s="381"/>
      <c r="D47" s="381"/>
      <c r="E47" s="381"/>
      <c r="F47" s="381"/>
      <c r="G47" s="19">
        <v>39</v>
      </c>
      <c r="H47" s="20"/>
      <c r="I47" s="71">
        <v>37241</v>
      </c>
      <c r="J47" s="71">
        <v>53329</v>
      </c>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c r="J50" s="71"/>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c r="I54" s="70">
        <f>SUM(I55:I60)</f>
        <v>182259</v>
      </c>
      <c r="J54" s="70">
        <f>SUM(J55:J60)</f>
        <v>165398</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c r="I57" s="71">
        <v>176807</v>
      </c>
      <c r="J57" s="71">
        <v>150462</v>
      </c>
    </row>
    <row r="58" spans="1:10" ht="13.5" customHeight="1">
      <c r="A58" s="381" t="s">
        <v>350</v>
      </c>
      <c r="B58" s="381"/>
      <c r="C58" s="381"/>
      <c r="D58" s="381"/>
      <c r="E58" s="381"/>
      <c r="F58" s="381"/>
      <c r="G58" s="19">
        <v>50</v>
      </c>
      <c r="H58" s="20"/>
      <c r="I58" s="71"/>
      <c r="J58" s="71"/>
    </row>
    <row r="59" spans="1:10" ht="13.5" customHeight="1">
      <c r="A59" s="381" t="s">
        <v>351</v>
      </c>
      <c r="B59" s="381"/>
      <c r="C59" s="381"/>
      <c r="D59" s="381"/>
      <c r="E59" s="381"/>
      <c r="F59" s="381"/>
      <c r="G59" s="19">
        <v>51</v>
      </c>
      <c r="H59" s="20"/>
      <c r="I59" s="71">
        <v>4267</v>
      </c>
      <c r="J59" s="71">
        <v>14936</v>
      </c>
    </row>
    <row r="60" spans="1:10" ht="13.5" customHeight="1">
      <c r="A60" s="381" t="s">
        <v>2638</v>
      </c>
      <c r="B60" s="381"/>
      <c r="C60" s="381"/>
      <c r="D60" s="381"/>
      <c r="E60" s="381"/>
      <c r="F60" s="381"/>
      <c r="G60" s="19">
        <v>52</v>
      </c>
      <c r="H60" s="20"/>
      <c r="I60" s="71">
        <v>1185</v>
      </c>
      <c r="J60" s="71"/>
    </row>
    <row r="61" spans="1:10" ht="13.5" customHeight="1">
      <c r="A61" s="382" t="s">
        <v>2649</v>
      </c>
      <c r="B61" s="382"/>
      <c r="C61" s="382"/>
      <c r="D61" s="382"/>
      <c r="E61" s="382"/>
      <c r="F61" s="382"/>
      <c r="G61" s="19">
        <v>53</v>
      </c>
      <c r="H61" s="20"/>
      <c r="I61" s="70">
        <f>SUM(I62:I70)</f>
        <v>0</v>
      </c>
      <c r="J61" s="70">
        <f>SUM(J62:J70)</f>
        <v>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c r="J69" s="71"/>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c r="I71" s="71">
        <v>162867</v>
      </c>
      <c r="J71" s="71">
        <v>148871</v>
      </c>
    </row>
    <row r="72" spans="1:10" ht="24.75" customHeight="1">
      <c r="A72" s="383" t="s">
        <v>1558</v>
      </c>
      <c r="B72" s="383"/>
      <c r="C72" s="383"/>
      <c r="D72" s="383"/>
      <c r="E72" s="383"/>
      <c r="F72" s="383"/>
      <c r="G72" s="19">
        <v>64</v>
      </c>
      <c r="H72" s="20"/>
      <c r="I72" s="71">
        <v>3750</v>
      </c>
      <c r="J72" s="71">
        <v>11953</v>
      </c>
    </row>
    <row r="73" spans="1:10" ht="13.5" customHeight="1">
      <c r="A73" s="383" t="s">
        <v>2650</v>
      </c>
      <c r="B73" s="383"/>
      <c r="C73" s="383"/>
      <c r="D73" s="383"/>
      <c r="E73" s="383"/>
      <c r="F73" s="383"/>
      <c r="G73" s="19">
        <v>65</v>
      </c>
      <c r="H73" s="20"/>
      <c r="I73" s="70">
        <f>I9+I10+I45+I72</f>
        <v>746352</v>
      </c>
      <c r="J73" s="70">
        <f>J9+J10+J45+J72</f>
        <v>633543</v>
      </c>
    </row>
    <row r="74" spans="1:10" ht="13.5" customHeight="1">
      <c r="A74" s="384" t="s">
        <v>257</v>
      </c>
      <c r="B74" s="384"/>
      <c r="C74" s="384"/>
      <c r="D74" s="384"/>
      <c r="E74" s="384"/>
      <c r="F74" s="384"/>
      <c r="G74" s="21">
        <v>66</v>
      </c>
      <c r="H74" s="22"/>
      <c r="I74" s="72"/>
      <c r="J74" s="72"/>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519127</v>
      </c>
      <c r="J76" s="70">
        <f>J77+J78+J79+J85+J86+J90+J93+J96</f>
        <v>462765</v>
      </c>
      <c r="L76" s="2" t="s">
        <v>2591</v>
      </c>
    </row>
    <row r="77" spans="1:10" ht="13.5" customHeight="1">
      <c r="A77" s="382" t="s">
        <v>935</v>
      </c>
      <c r="B77" s="382"/>
      <c r="C77" s="382"/>
      <c r="D77" s="382"/>
      <c r="E77" s="382"/>
      <c r="F77" s="382"/>
      <c r="G77" s="19">
        <v>68</v>
      </c>
      <c r="H77" s="20"/>
      <c r="I77" s="71">
        <v>20000</v>
      </c>
      <c r="J77" s="71">
        <v>20000</v>
      </c>
    </row>
    <row r="78" spans="1:12" ht="13.5" customHeight="1">
      <c r="A78" s="382" t="s">
        <v>936</v>
      </c>
      <c r="B78" s="382"/>
      <c r="C78" s="382"/>
      <c r="D78" s="382"/>
      <c r="E78" s="382"/>
      <c r="F78" s="382"/>
      <c r="G78" s="19">
        <v>69</v>
      </c>
      <c r="H78" s="20"/>
      <c r="I78" s="71"/>
      <c r="J78" s="71"/>
      <c r="L78" s="2" t="s">
        <v>2591</v>
      </c>
    </row>
    <row r="79" spans="1:12" ht="13.5" customHeight="1">
      <c r="A79" s="382" t="s">
        <v>2473</v>
      </c>
      <c r="B79" s="382"/>
      <c r="C79" s="382"/>
      <c r="D79" s="382"/>
      <c r="E79" s="382"/>
      <c r="F79" s="382"/>
      <c r="G79" s="19">
        <v>70</v>
      </c>
      <c r="H79" s="20"/>
      <c r="I79" s="70">
        <f>I80+I81-I82+I83+I84</f>
        <v>0</v>
      </c>
      <c r="J79" s="70">
        <f>J80+J81-J82+J83+J84</f>
        <v>0</v>
      </c>
      <c r="L79" s="2" t="s">
        <v>2591</v>
      </c>
    </row>
    <row r="80" spans="1:10" ht="13.5" customHeight="1">
      <c r="A80" s="381" t="s">
        <v>2641</v>
      </c>
      <c r="B80" s="381"/>
      <c r="C80" s="381"/>
      <c r="D80" s="381"/>
      <c r="E80" s="381"/>
      <c r="F80" s="381"/>
      <c r="G80" s="19">
        <v>71</v>
      </c>
      <c r="H80" s="20"/>
      <c r="I80" s="71"/>
      <c r="J80" s="71"/>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c r="J84" s="71"/>
    </row>
    <row r="85" spans="1:12" ht="13.5" customHeight="1">
      <c r="A85" s="382" t="s">
        <v>1606</v>
      </c>
      <c r="B85" s="382"/>
      <c r="C85" s="382"/>
      <c r="D85" s="382"/>
      <c r="E85" s="382"/>
      <c r="F85" s="382"/>
      <c r="G85" s="19">
        <v>76</v>
      </c>
      <c r="H85" s="20"/>
      <c r="I85" s="71">
        <v>33480</v>
      </c>
      <c r="J85" s="71"/>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c r="I90" s="70">
        <f>I91-I92</f>
        <v>367674</v>
      </c>
      <c r="J90" s="70">
        <f>J91-J92</f>
        <v>465647</v>
      </c>
      <c r="L90" s="2" t="s">
        <v>2591</v>
      </c>
    </row>
    <row r="91" spans="1:10" ht="13.5" customHeight="1">
      <c r="A91" s="381" t="s">
        <v>1139</v>
      </c>
      <c r="B91" s="381"/>
      <c r="C91" s="381"/>
      <c r="D91" s="381"/>
      <c r="E91" s="381"/>
      <c r="F91" s="381"/>
      <c r="G91" s="19">
        <v>82</v>
      </c>
      <c r="H91" s="20"/>
      <c r="I91" s="71">
        <v>367674</v>
      </c>
      <c r="J91" s="71">
        <v>465647</v>
      </c>
    </row>
    <row r="92" spans="1:10" ht="13.5" customHeight="1">
      <c r="A92" s="381" t="s">
        <v>1140</v>
      </c>
      <c r="B92" s="381"/>
      <c r="C92" s="381"/>
      <c r="D92" s="381"/>
      <c r="E92" s="381"/>
      <c r="F92" s="381"/>
      <c r="G92" s="19">
        <v>83</v>
      </c>
      <c r="H92" s="20"/>
      <c r="I92" s="71"/>
      <c r="J92" s="71"/>
    </row>
    <row r="93" spans="1:12" ht="13.5" customHeight="1">
      <c r="A93" s="382" t="s">
        <v>2653</v>
      </c>
      <c r="B93" s="382"/>
      <c r="C93" s="382"/>
      <c r="D93" s="382"/>
      <c r="E93" s="382"/>
      <c r="F93" s="382"/>
      <c r="G93" s="19">
        <v>84</v>
      </c>
      <c r="H93" s="20"/>
      <c r="I93" s="70">
        <f>I94-I95</f>
        <v>97973</v>
      </c>
      <c r="J93" s="70">
        <f>J94-J95</f>
        <v>-22882</v>
      </c>
      <c r="L93" s="2" t="s">
        <v>2591</v>
      </c>
    </row>
    <row r="94" spans="1:10" ht="13.5" customHeight="1">
      <c r="A94" s="381" t="s">
        <v>2640</v>
      </c>
      <c r="B94" s="381"/>
      <c r="C94" s="381"/>
      <c r="D94" s="381"/>
      <c r="E94" s="381"/>
      <c r="F94" s="381"/>
      <c r="G94" s="19">
        <v>85</v>
      </c>
      <c r="H94" s="20"/>
      <c r="I94" s="71">
        <v>97973</v>
      </c>
      <c r="J94" s="71"/>
    </row>
    <row r="95" spans="1:10" ht="13.5" customHeight="1">
      <c r="A95" s="381" t="s">
        <v>1141</v>
      </c>
      <c r="B95" s="381"/>
      <c r="C95" s="381"/>
      <c r="D95" s="381"/>
      <c r="E95" s="381"/>
      <c r="F95" s="381"/>
      <c r="G95" s="19">
        <v>86</v>
      </c>
      <c r="H95" s="20"/>
      <c r="I95" s="71"/>
      <c r="J95" s="71">
        <v>22882</v>
      </c>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0</v>
      </c>
      <c r="J97" s="70">
        <f>SUM(J98:J103)</f>
        <v>0</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c r="J103" s="71"/>
    </row>
    <row r="104" spans="1:10" ht="13.5" customHeight="1">
      <c r="A104" s="383" t="s">
        <v>2655</v>
      </c>
      <c r="B104" s="383"/>
      <c r="C104" s="383"/>
      <c r="D104" s="383"/>
      <c r="E104" s="383"/>
      <c r="F104" s="383"/>
      <c r="G104" s="19">
        <v>95</v>
      </c>
      <c r="H104" s="20"/>
      <c r="I104" s="70">
        <f>SUM(I105:I115)</f>
        <v>4565</v>
      </c>
      <c r="J104" s="70">
        <f>SUM(J105:J115)</f>
        <v>0</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c r="I110" s="71"/>
      <c r="J110" s="71"/>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v>4565</v>
      </c>
      <c r="J115" s="71"/>
    </row>
    <row r="116" spans="1:10" ht="13.5" customHeight="1">
      <c r="A116" s="383" t="s">
        <v>2656</v>
      </c>
      <c r="B116" s="383"/>
      <c r="C116" s="383"/>
      <c r="D116" s="383"/>
      <c r="E116" s="383"/>
      <c r="F116" s="383"/>
      <c r="G116" s="19">
        <v>107</v>
      </c>
      <c r="H116" s="20"/>
      <c r="I116" s="70">
        <f>SUM(I117:I130)</f>
        <v>63513</v>
      </c>
      <c r="J116" s="70">
        <f>SUM(J117:J130)</f>
        <v>70719</v>
      </c>
    </row>
    <row r="117" spans="1:10" ht="13.5" customHeight="1">
      <c r="A117" s="381" t="s">
        <v>2193</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c r="J121" s="71"/>
    </row>
    <row r="122" spans="1:10" ht="13.5" customHeight="1">
      <c r="A122" s="381" t="s">
        <v>362</v>
      </c>
      <c r="B122" s="381"/>
      <c r="C122" s="381"/>
      <c r="D122" s="381"/>
      <c r="E122" s="381"/>
      <c r="F122" s="381"/>
      <c r="G122" s="19">
        <v>113</v>
      </c>
      <c r="H122" s="20"/>
      <c r="I122" s="71"/>
      <c r="J122" s="71"/>
    </row>
    <row r="123" spans="1:10" ht="13.5" customHeight="1">
      <c r="A123" s="381" t="s">
        <v>357</v>
      </c>
      <c r="B123" s="381"/>
      <c r="C123" s="381"/>
      <c r="D123" s="381"/>
      <c r="E123" s="381"/>
      <c r="F123" s="381"/>
      <c r="G123" s="19">
        <v>114</v>
      </c>
      <c r="H123" s="20"/>
      <c r="I123" s="71"/>
      <c r="J123" s="71"/>
    </row>
    <row r="124" spans="1:10" ht="13.5" customHeight="1">
      <c r="A124" s="381" t="s">
        <v>358</v>
      </c>
      <c r="B124" s="381"/>
      <c r="C124" s="381"/>
      <c r="D124" s="381"/>
      <c r="E124" s="381"/>
      <c r="F124" s="381"/>
      <c r="G124" s="19">
        <v>115</v>
      </c>
      <c r="H124" s="20"/>
      <c r="I124" s="71">
        <v>14126</v>
      </c>
      <c r="J124" s="71">
        <v>15013</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c r="I126" s="71">
        <v>29803</v>
      </c>
      <c r="J126" s="71">
        <v>31355</v>
      </c>
    </row>
    <row r="127" spans="1:10" ht="13.5" customHeight="1">
      <c r="A127" s="381" t="s">
        <v>364</v>
      </c>
      <c r="B127" s="381"/>
      <c r="C127" s="381"/>
      <c r="D127" s="381"/>
      <c r="E127" s="381"/>
      <c r="F127" s="381"/>
      <c r="G127" s="19">
        <v>118</v>
      </c>
      <c r="H127" s="20"/>
      <c r="I127" s="71">
        <v>19584</v>
      </c>
      <c r="J127" s="71">
        <v>24351</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c r="J130" s="71"/>
    </row>
    <row r="131" spans="1:10" ht="24.75" customHeight="1">
      <c r="A131" s="383" t="s">
        <v>1560</v>
      </c>
      <c r="B131" s="383"/>
      <c r="C131" s="383"/>
      <c r="D131" s="383"/>
      <c r="E131" s="383"/>
      <c r="F131" s="383"/>
      <c r="G131" s="19">
        <v>122</v>
      </c>
      <c r="H131" s="20"/>
      <c r="I131" s="71">
        <v>159147</v>
      </c>
      <c r="J131" s="71">
        <v>100059</v>
      </c>
    </row>
    <row r="132" spans="1:10" ht="13.5" customHeight="1">
      <c r="A132" s="383" t="s">
        <v>2657</v>
      </c>
      <c r="B132" s="383"/>
      <c r="C132" s="383"/>
      <c r="D132" s="383"/>
      <c r="E132" s="383"/>
      <c r="F132" s="383"/>
      <c r="G132" s="19">
        <v>123</v>
      </c>
      <c r="H132" s="20"/>
      <c r="I132" s="70">
        <f>I76+I97+I104+I116+I131</f>
        <v>746352</v>
      </c>
      <c r="J132" s="70">
        <f>J76+J97+J104+J116+J131</f>
        <v>633543</v>
      </c>
    </row>
    <row r="133" spans="1:10" ht="13.5" customHeight="1">
      <c r="A133" s="384" t="s">
        <v>662</v>
      </c>
      <c r="B133" s="384"/>
      <c r="C133" s="384"/>
      <c r="D133" s="384"/>
      <c r="E133" s="384"/>
      <c r="F133" s="384"/>
      <c r="G133" s="21">
        <v>124</v>
      </c>
      <c r="H133" s="22"/>
      <c r="I133" s="72"/>
      <c r="J133" s="72"/>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J2:J3"/>
    <mergeCell ref="A2:I2"/>
    <mergeCell ref="A3:I3"/>
    <mergeCell ref="A69:F69"/>
    <mergeCell ref="A5:J5"/>
    <mergeCell ref="A17:F17"/>
    <mergeCell ref="A6:F6"/>
    <mergeCell ref="A7:F7"/>
    <mergeCell ref="A16:F16"/>
    <mergeCell ref="A25:F25"/>
    <mergeCell ref="A107:F107"/>
    <mergeCell ref="A102:F102"/>
    <mergeCell ref="A103:F103"/>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20:F20"/>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5" activePane="bottomLeft" state="frozen"/>
      <selection pane="topLeft" activeCell="A1" sqref="A1"/>
      <selection pane="bottomLeft" activeCell="F1" sqref="F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01.01.2020. do 31.12.2020.</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88124811471; KOMUNALAC d.o.o. za komunalne djelatnosti</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1043986</v>
      </c>
      <c r="J8" s="84">
        <f>SUM(J9:J13)</f>
        <v>1037813</v>
      </c>
      <c r="Q8" s="2">
        <f>IF(OR(MIN(I70:J75)&lt;&gt;0,MAX(I70:J75)&lt;&gt;0),1,0)</f>
        <v>0</v>
      </c>
      <c r="R8" s="73" t="s">
        <v>2597</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c r="I10" s="71">
        <v>982504</v>
      </c>
      <c r="J10" s="71">
        <v>982453</v>
      </c>
    </row>
    <row r="11" spans="1:10" s="2" customFormat="1" ht="13.5" customHeight="1">
      <c r="A11" s="381" t="s">
        <v>1435</v>
      </c>
      <c r="B11" s="381"/>
      <c r="C11" s="381"/>
      <c r="D11" s="381"/>
      <c r="E11" s="381"/>
      <c r="F11" s="381"/>
      <c r="G11" s="19">
        <v>128</v>
      </c>
      <c r="H11" s="20"/>
      <c r="I11" s="71"/>
      <c r="J11" s="71"/>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c r="I13" s="71">
        <v>61482</v>
      </c>
      <c r="J13" s="71">
        <v>55360</v>
      </c>
    </row>
    <row r="14" spans="1:10" s="2" customFormat="1" ht="13.5" customHeight="1">
      <c r="A14" s="383" t="s">
        <v>1837</v>
      </c>
      <c r="B14" s="383"/>
      <c r="C14" s="383"/>
      <c r="D14" s="383"/>
      <c r="E14" s="383"/>
      <c r="F14" s="383"/>
      <c r="G14" s="19">
        <v>131</v>
      </c>
      <c r="H14" s="20"/>
      <c r="I14" s="70">
        <f>I15+I16+I20+I24+I25+I26+I29+I36</f>
        <v>955262</v>
      </c>
      <c r="J14" s="70">
        <f>J15+J16+J20+J24+J25+J26+J29+J36</f>
        <v>1082190</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c r="I16" s="70">
        <f>SUM(I17:I19)</f>
        <v>413478</v>
      </c>
      <c r="J16" s="70">
        <f>SUM(J17:J19)</f>
        <v>332353</v>
      </c>
    </row>
    <row r="17" spans="1:10" s="2" customFormat="1" ht="13.5" customHeight="1">
      <c r="A17" s="410" t="s">
        <v>504</v>
      </c>
      <c r="B17" s="410"/>
      <c r="C17" s="410"/>
      <c r="D17" s="410"/>
      <c r="E17" s="410"/>
      <c r="F17" s="410"/>
      <c r="G17" s="19">
        <v>134</v>
      </c>
      <c r="H17" s="20"/>
      <c r="I17" s="71">
        <v>181193</v>
      </c>
      <c r="J17" s="71">
        <v>174726</v>
      </c>
    </row>
    <row r="18" spans="1:10" s="2" customFormat="1" ht="13.5" customHeight="1">
      <c r="A18" s="410" t="s">
        <v>505</v>
      </c>
      <c r="B18" s="410"/>
      <c r="C18" s="410"/>
      <c r="D18" s="410"/>
      <c r="E18" s="410"/>
      <c r="F18" s="410"/>
      <c r="G18" s="19">
        <v>135</v>
      </c>
      <c r="H18" s="20"/>
      <c r="I18" s="71"/>
      <c r="J18" s="71"/>
    </row>
    <row r="19" spans="1:10" s="2" customFormat="1" ht="13.5" customHeight="1">
      <c r="A19" s="410" t="s">
        <v>1426</v>
      </c>
      <c r="B19" s="410"/>
      <c r="C19" s="410"/>
      <c r="D19" s="410"/>
      <c r="E19" s="410"/>
      <c r="F19" s="410"/>
      <c r="G19" s="19">
        <v>136</v>
      </c>
      <c r="H19" s="20"/>
      <c r="I19" s="71">
        <v>232285</v>
      </c>
      <c r="J19" s="71">
        <v>157627</v>
      </c>
    </row>
    <row r="20" spans="1:10" s="2" customFormat="1" ht="13.5" customHeight="1">
      <c r="A20" s="381" t="s">
        <v>1839</v>
      </c>
      <c r="B20" s="381"/>
      <c r="C20" s="381"/>
      <c r="D20" s="381"/>
      <c r="E20" s="381"/>
      <c r="F20" s="381"/>
      <c r="G20" s="19">
        <v>137</v>
      </c>
      <c r="H20" s="20"/>
      <c r="I20" s="70">
        <f>SUM(I21:I23)</f>
        <v>394720</v>
      </c>
      <c r="J20" s="70">
        <f>SUM(J21:J23)</f>
        <v>554438</v>
      </c>
    </row>
    <row r="21" spans="1:10" s="2" customFormat="1" ht="13.5" customHeight="1">
      <c r="A21" s="410" t="s">
        <v>724</v>
      </c>
      <c r="B21" s="410"/>
      <c r="C21" s="410"/>
      <c r="D21" s="410"/>
      <c r="E21" s="410"/>
      <c r="F21" s="410"/>
      <c r="G21" s="19">
        <v>138</v>
      </c>
      <c r="H21" s="20"/>
      <c r="I21" s="71">
        <v>263367</v>
      </c>
      <c r="J21" s="71">
        <v>368120</v>
      </c>
    </row>
    <row r="22" spans="1:10" s="2" customFormat="1" ht="13.5" customHeight="1">
      <c r="A22" s="410" t="s">
        <v>961</v>
      </c>
      <c r="B22" s="410"/>
      <c r="C22" s="410"/>
      <c r="D22" s="410"/>
      <c r="E22" s="410"/>
      <c r="F22" s="410"/>
      <c r="G22" s="19">
        <v>139</v>
      </c>
      <c r="H22" s="20"/>
      <c r="I22" s="71">
        <v>75448</v>
      </c>
      <c r="J22" s="71">
        <v>107792</v>
      </c>
    </row>
    <row r="23" spans="1:10" s="2" customFormat="1" ht="13.5" customHeight="1">
      <c r="A23" s="410" t="s">
        <v>962</v>
      </c>
      <c r="B23" s="410"/>
      <c r="C23" s="410"/>
      <c r="D23" s="410"/>
      <c r="E23" s="410"/>
      <c r="F23" s="410"/>
      <c r="G23" s="19">
        <v>140</v>
      </c>
      <c r="H23" s="20"/>
      <c r="I23" s="71">
        <v>55905</v>
      </c>
      <c r="J23" s="71">
        <v>78526</v>
      </c>
    </row>
    <row r="24" spans="1:10" s="2" customFormat="1" ht="13.5" customHeight="1">
      <c r="A24" s="381" t="s">
        <v>259</v>
      </c>
      <c r="B24" s="381"/>
      <c r="C24" s="381"/>
      <c r="D24" s="381"/>
      <c r="E24" s="381"/>
      <c r="F24" s="381"/>
      <c r="G24" s="19">
        <v>141</v>
      </c>
      <c r="H24" s="20"/>
      <c r="I24" s="71">
        <v>79390</v>
      </c>
      <c r="J24" s="71">
        <v>107788</v>
      </c>
    </row>
    <row r="25" spans="1:10" s="2" customFormat="1" ht="13.5" customHeight="1">
      <c r="A25" s="381" t="s">
        <v>260</v>
      </c>
      <c r="B25" s="381"/>
      <c r="C25" s="381"/>
      <c r="D25" s="381"/>
      <c r="E25" s="381"/>
      <c r="F25" s="381"/>
      <c r="G25" s="19">
        <v>142</v>
      </c>
      <c r="H25" s="20"/>
      <c r="I25" s="71">
        <v>59383</v>
      </c>
      <c r="J25" s="71">
        <v>78615</v>
      </c>
    </row>
    <row r="26" spans="1:12" s="2" customFormat="1" ht="13.5" customHeight="1">
      <c r="A26" s="381" t="s">
        <v>1840</v>
      </c>
      <c r="B26" s="381"/>
      <c r="C26" s="381"/>
      <c r="D26" s="381"/>
      <c r="E26" s="381"/>
      <c r="F26" s="381"/>
      <c r="G26" s="19">
        <v>143</v>
      </c>
      <c r="H26" s="20"/>
      <c r="I26" s="70">
        <f>SUM(I27:I28)</f>
        <v>8291</v>
      </c>
      <c r="J26" s="70">
        <f>SUM(J27:J28)</f>
        <v>8996</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c r="I28" s="71">
        <v>8291</v>
      </c>
      <c r="J28" s="71">
        <v>8996</v>
      </c>
      <c r="L28" s="2" t="s">
        <v>2591</v>
      </c>
    </row>
    <row r="29" spans="1:12" s="2" customFormat="1" ht="13.5" customHeight="1">
      <c r="A29" s="381" t="s">
        <v>1841</v>
      </c>
      <c r="B29" s="381"/>
      <c r="C29" s="381"/>
      <c r="D29" s="381"/>
      <c r="E29" s="381"/>
      <c r="F29" s="381"/>
      <c r="G29" s="19">
        <v>146</v>
      </c>
      <c r="H29" s="20"/>
      <c r="I29" s="70">
        <f>SUM(I30:I35)</f>
        <v>0</v>
      </c>
      <c r="J29" s="70">
        <f>SUM(J30:J35)</f>
        <v>0</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c r="J35" s="71"/>
      <c r="L35" s="2" t="s">
        <v>2591</v>
      </c>
    </row>
    <row r="36" spans="1:10" s="2" customFormat="1" ht="13.5" customHeight="1">
      <c r="A36" s="381" t="s">
        <v>1692</v>
      </c>
      <c r="B36" s="381"/>
      <c r="C36" s="381"/>
      <c r="D36" s="381"/>
      <c r="E36" s="381"/>
      <c r="F36" s="381"/>
      <c r="G36" s="19">
        <v>153</v>
      </c>
      <c r="H36" s="20"/>
      <c r="I36" s="71"/>
      <c r="J36" s="71"/>
    </row>
    <row r="37" spans="1:10" s="2" customFormat="1" ht="13.5" customHeight="1">
      <c r="A37" s="383" t="s">
        <v>1842</v>
      </c>
      <c r="B37" s="383"/>
      <c r="C37" s="383"/>
      <c r="D37" s="383"/>
      <c r="E37" s="383"/>
      <c r="F37" s="383"/>
      <c r="G37" s="19">
        <v>154</v>
      </c>
      <c r="H37" s="20"/>
      <c r="I37" s="70">
        <f>SUM(I38:I47)</f>
        <v>22503</v>
      </c>
      <c r="J37" s="70">
        <f>SUM(J38:J47)</f>
        <v>21918</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v>674</v>
      </c>
      <c r="J44" s="71">
        <v>959</v>
      </c>
    </row>
    <row r="45" spans="1:10" s="2" customFormat="1" ht="13.5" customHeight="1">
      <c r="A45" s="381" t="s">
        <v>1428</v>
      </c>
      <c r="B45" s="381"/>
      <c r="C45" s="381"/>
      <c r="D45" s="381"/>
      <c r="E45" s="381"/>
      <c r="F45" s="381"/>
      <c r="G45" s="19">
        <v>162</v>
      </c>
      <c r="H45" s="20"/>
      <c r="I45" s="71"/>
      <c r="J45" s="71">
        <v>1</v>
      </c>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v>21829</v>
      </c>
      <c r="J47" s="71">
        <v>20958</v>
      </c>
    </row>
    <row r="48" spans="1:10" s="2" customFormat="1" ht="13.5" customHeight="1">
      <c r="A48" s="383" t="s">
        <v>1843</v>
      </c>
      <c r="B48" s="383"/>
      <c r="C48" s="383"/>
      <c r="D48" s="383"/>
      <c r="E48" s="383"/>
      <c r="F48" s="383"/>
      <c r="G48" s="19">
        <v>165</v>
      </c>
      <c r="H48" s="20"/>
      <c r="I48" s="70">
        <f>SUM(I49:I55)</f>
        <v>609</v>
      </c>
      <c r="J48" s="70">
        <f>SUM(J49:J55)</f>
        <v>423</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c r="J51" s="71">
        <v>326</v>
      </c>
    </row>
    <row r="52" spans="1:10" s="2" customFormat="1" ht="13.5" customHeight="1">
      <c r="A52" s="404" t="s">
        <v>1439</v>
      </c>
      <c r="B52" s="404"/>
      <c r="C52" s="404"/>
      <c r="D52" s="404"/>
      <c r="E52" s="404"/>
      <c r="F52" s="404"/>
      <c r="G52" s="19">
        <v>169</v>
      </c>
      <c r="H52" s="20"/>
      <c r="I52" s="71"/>
      <c r="J52" s="71">
        <v>22</v>
      </c>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v>609</v>
      </c>
      <c r="J55" s="71">
        <v>75</v>
      </c>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1066489</v>
      </c>
      <c r="J60" s="70">
        <f>J8+J37+J56+J57</f>
        <v>1059731</v>
      </c>
    </row>
    <row r="61" spans="1:10" s="2" customFormat="1" ht="13.5" customHeight="1">
      <c r="A61" s="383" t="s">
        <v>1845</v>
      </c>
      <c r="B61" s="383"/>
      <c r="C61" s="383"/>
      <c r="D61" s="383"/>
      <c r="E61" s="383"/>
      <c r="F61" s="383"/>
      <c r="G61" s="19">
        <v>178</v>
      </c>
      <c r="H61" s="20"/>
      <c r="I61" s="70">
        <f>I14+I48+I58+I59</f>
        <v>955871</v>
      </c>
      <c r="J61" s="70">
        <f>J14+J48+J58+J59</f>
        <v>1082613</v>
      </c>
    </row>
    <row r="62" spans="1:12" s="2" customFormat="1" ht="13.5" customHeight="1">
      <c r="A62" s="383" t="s">
        <v>2581</v>
      </c>
      <c r="B62" s="383"/>
      <c r="C62" s="383"/>
      <c r="D62" s="383"/>
      <c r="E62" s="383"/>
      <c r="F62" s="383"/>
      <c r="G62" s="19">
        <v>179</v>
      </c>
      <c r="H62" s="20"/>
      <c r="I62" s="70">
        <f>I60-I61</f>
        <v>110618</v>
      </c>
      <c r="J62" s="70">
        <f>J60-J61</f>
        <v>-22882</v>
      </c>
      <c r="L62" s="2" t="s">
        <v>2591</v>
      </c>
    </row>
    <row r="63" spans="1:10" s="2" customFormat="1" ht="13.5" customHeight="1">
      <c r="A63" s="404" t="s">
        <v>2658</v>
      </c>
      <c r="B63" s="404"/>
      <c r="C63" s="404"/>
      <c r="D63" s="404"/>
      <c r="E63" s="404"/>
      <c r="F63" s="404"/>
      <c r="G63" s="19">
        <v>180</v>
      </c>
      <c r="H63" s="20"/>
      <c r="I63" s="70">
        <f>IF(I60&gt;I61,I60-I61,0)</f>
        <v>110618</v>
      </c>
      <c r="J63" s="70">
        <f>IF(J60&gt;J61,J60-J61,0)</f>
        <v>0</v>
      </c>
    </row>
    <row r="64" spans="1:10" s="2" customFormat="1" ht="13.5" customHeight="1">
      <c r="A64" s="404" t="s">
        <v>778</v>
      </c>
      <c r="B64" s="404"/>
      <c r="C64" s="404"/>
      <c r="D64" s="404"/>
      <c r="E64" s="404"/>
      <c r="F64" s="404"/>
      <c r="G64" s="19">
        <v>181</v>
      </c>
      <c r="H64" s="20"/>
      <c r="I64" s="70">
        <f>IF(I61&gt;I60,I61-I60,0)</f>
        <v>0</v>
      </c>
      <c r="J64" s="70">
        <f>IF(J61&gt;J60,J61-J60,0)</f>
        <v>22882</v>
      </c>
    </row>
    <row r="65" spans="1:12" s="2" customFormat="1" ht="13.5" customHeight="1">
      <c r="A65" s="383" t="s">
        <v>2620</v>
      </c>
      <c r="B65" s="383"/>
      <c r="C65" s="383"/>
      <c r="D65" s="383"/>
      <c r="E65" s="383"/>
      <c r="F65" s="383"/>
      <c r="G65" s="19">
        <v>182</v>
      </c>
      <c r="H65" s="20"/>
      <c r="I65" s="71">
        <v>12645</v>
      </c>
      <c r="J65" s="71"/>
      <c r="L65" s="2" t="s">
        <v>2591</v>
      </c>
    </row>
    <row r="66" spans="1:12" s="2" customFormat="1" ht="13.5" customHeight="1">
      <c r="A66" s="383" t="s">
        <v>2582</v>
      </c>
      <c r="B66" s="383"/>
      <c r="C66" s="383"/>
      <c r="D66" s="383"/>
      <c r="E66" s="383"/>
      <c r="F66" s="383"/>
      <c r="G66" s="19">
        <v>183</v>
      </c>
      <c r="H66" s="20"/>
      <c r="I66" s="70">
        <f>I62-I65</f>
        <v>97973</v>
      </c>
      <c r="J66" s="70">
        <f>J62-J65</f>
        <v>-22882</v>
      </c>
      <c r="L66" s="2" t="s">
        <v>2591</v>
      </c>
    </row>
    <row r="67" spans="1:10" s="2" customFormat="1" ht="13.5" customHeight="1">
      <c r="A67" s="404" t="s">
        <v>779</v>
      </c>
      <c r="B67" s="404"/>
      <c r="C67" s="404"/>
      <c r="D67" s="404"/>
      <c r="E67" s="404"/>
      <c r="F67" s="404"/>
      <c r="G67" s="19">
        <v>184</v>
      </c>
      <c r="H67" s="20"/>
      <c r="I67" s="70">
        <f>IF(I66&gt;0,I66,0)</f>
        <v>97973</v>
      </c>
      <c r="J67" s="70">
        <f>IF(J66&gt;0,J66,0)</f>
        <v>0</v>
      </c>
    </row>
    <row r="68" spans="1:10" s="2" customFormat="1" ht="13.5" customHeight="1">
      <c r="A68" s="421" t="s">
        <v>1472</v>
      </c>
      <c r="B68" s="421"/>
      <c r="C68" s="421"/>
      <c r="D68" s="421"/>
      <c r="E68" s="421"/>
      <c r="F68" s="421"/>
      <c r="G68" s="21">
        <v>185</v>
      </c>
      <c r="H68" s="22"/>
      <c r="I68" s="85">
        <f>IF(I66&lt;0,-I66,0)</f>
        <v>0</v>
      </c>
      <c r="J68" s="85">
        <f>IF(J66&lt;0,-J66,0)</f>
        <v>22882</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tabSelected="1" zoomScalePageLayoutView="0" workbookViewId="0" topLeftCell="A1">
      <pane ySplit="1" topLeftCell="A20" activePane="bottomLeft" state="frozen"/>
      <selection pane="topLeft" activeCell="A1" sqref="A1"/>
      <selection pane="bottomLeft" activeCell="A1" sqref="A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43" t="s">
        <v>568</v>
      </c>
      <c r="B2" s="444"/>
      <c r="C2" s="444"/>
      <c r="D2" s="444"/>
      <c r="E2" s="444"/>
      <c r="F2" s="444"/>
      <c r="G2" s="444"/>
      <c r="H2" s="444"/>
      <c r="I2" s="445"/>
      <c r="J2" s="385" t="s">
        <v>2593</v>
      </c>
      <c r="Q2" s="74">
        <f>IF(MAX(I9:I88)&gt;0,1,0)</f>
        <v>1</v>
      </c>
      <c r="R2" s="73" t="s">
        <v>2586</v>
      </c>
    </row>
    <row r="3" spans="1:18" s="2" customFormat="1" ht="19.5" customHeight="1" thickBot="1">
      <c r="A3" s="446" t="str">
        <f>"za razdoblje "&amp;IF(RefStr!C4&lt;&gt;"",TEXT(RefStr!C4,"DD.MM.YYYY."),"__.__.____.")&amp;" do "&amp;IF(RefStr!F4&lt;&gt;"",TEXT(RefStr!F4,"DD.MM.YYYY."),"__.__.____.")</f>
        <v>za razdoblje 01.01.2020. do 31.12.2020.</v>
      </c>
      <c r="B3" s="447"/>
      <c r="C3" s="447"/>
      <c r="D3" s="447"/>
      <c r="E3" s="447"/>
      <c r="F3" s="447"/>
      <c r="G3" s="447"/>
      <c r="H3" s="447"/>
      <c r="I3" s="448"/>
      <c r="J3" s="433"/>
      <c r="Q3" s="74">
        <f>IF(MAX(J9:J88)&gt;0,1,0)</f>
        <v>1</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88124811471; KOMUNALAC d.o.o. za komunalne djelatnosti</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v>5874</v>
      </c>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v>981814</v>
      </c>
      <c r="J25" s="94">
        <v>981853</v>
      </c>
    </row>
    <row r="26" spans="1:10" s="2" customFormat="1" ht="24.75" customHeight="1">
      <c r="A26" s="404" t="s">
        <v>2215</v>
      </c>
      <c r="B26" s="404"/>
      <c r="C26" s="404"/>
      <c r="D26" s="404"/>
      <c r="E26" s="404"/>
      <c r="F26" s="404"/>
      <c r="G26" s="427"/>
      <c r="H26" s="19">
        <v>232</v>
      </c>
      <c r="I26" s="77"/>
      <c r="J26" s="77"/>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v>690</v>
      </c>
      <c r="J34" s="77">
        <v>600</v>
      </c>
    </row>
    <row r="35" spans="1:10" s="2" customFormat="1" ht="36" customHeight="1">
      <c r="A35" s="421" t="s">
        <v>273</v>
      </c>
      <c r="B35" s="421"/>
      <c r="C35" s="421"/>
      <c r="D35" s="421"/>
      <c r="E35" s="421"/>
      <c r="F35" s="421"/>
      <c r="G35" s="430"/>
      <c r="H35" s="21">
        <v>241</v>
      </c>
      <c r="I35" s="78"/>
      <c r="J35" s="78"/>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v>982504</v>
      </c>
      <c r="J37" s="94">
        <v>982453</v>
      </c>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v>77751</v>
      </c>
      <c r="J50" s="77">
        <v>78887</v>
      </c>
    </row>
    <row r="51" spans="1:10" s="2" customFormat="1" ht="24.75" customHeight="1">
      <c r="A51" s="404" t="s">
        <v>2219</v>
      </c>
      <c r="B51" s="404"/>
      <c r="C51" s="404"/>
      <c r="D51" s="404"/>
      <c r="E51" s="404"/>
      <c r="F51" s="404"/>
      <c r="G51" s="427"/>
      <c r="H51" s="19">
        <v>253</v>
      </c>
      <c r="I51" s="77">
        <v>41664</v>
      </c>
      <c r="J51" s="77">
        <v>61714</v>
      </c>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c r="J55" s="77"/>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c r="J57" s="77"/>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v>10342</v>
      </c>
      <c r="J60" s="77">
        <v>10272</v>
      </c>
    </row>
    <row r="61" spans="1:10" s="2" customFormat="1" ht="13.5" customHeight="1">
      <c r="A61" s="431" t="s">
        <v>2445</v>
      </c>
      <c r="B61" s="431"/>
      <c r="C61" s="431"/>
      <c r="D61" s="431"/>
      <c r="E61" s="431"/>
      <c r="F61" s="431"/>
      <c r="G61" s="432"/>
      <c r="H61" s="19">
        <v>263</v>
      </c>
      <c r="I61" s="77">
        <v>10342</v>
      </c>
      <c r="J61" s="77">
        <v>10272</v>
      </c>
    </row>
    <row r="62" spans="1:10" s="2" customFormat="1" ht="13.5" customHeight="1">
      <c r="A62" s="404" t="s">
        <v>2439</v>
      </c>
      <c r="B62" s="404"/>
      <c r="C62" s="404"/>
      <c r="D62" s="404"/>
      <c r="E62" s="404"/>
      <c r="F62" s="404"/>
      <c r="G62" s="427"/>
      <c r="H62" s="19">
        <v>264</v>
      </c>
      <c r="I62" s="77">
        <v>5028</v>
      </c>
      <c r="J62" s="77">
        <v>1300</v>
      </c>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v>50134</v>
      </c>
      <c r="J65" s="77">
        <v>71485</v>
      </c>
    </row>
    <row r="66" spans="1:10" s="2" customFormat="1" ht="13.5" customHeight="1">
      <c r="A66" s="431" t="s">
        <v>2903</v>
      </c>
      <c r="B66" s="431"/>
      <c r="C66" s="431"/>
      <c r="D66" s="431"/>
      <c r="E66" s="431"/>
      <c r="F66" s="431"/>
      <c r="G66" s="432"/>
      <c r="H66" s="19">
        <v>268</v>
      </c>
      <c r="I66" s="77"/>
      <c r="J66" s="77"/>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v>674</v>
      </c>
      <c r="J73" s="94">
        <v>958</v>
      </c>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c r="J76" s="78">
        <v>325</v>
      </c>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343650</v>
      </c>
      <c r="J78" s="228">
        <f>SUM(J79:J82)</f>
        <v>40580</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v>151800</v>
      </c>
      <c r="J80" s="77">
        <v>40580</v>
      </c>
    </row>
    <row r="81" spans="1:10" s="2" customFormat="1" ht="13.5" customHeight="1">
      <c r="A81" s="404" t="s">
        <v>1</v>
      </c>
      <c r="B81" s="404"/>
      <c r="C81" s="404"/>
      <c r="D81" s="404"/>
      <c r="E81" s="404"/>
      <c r="F81" s="404"/>
      <c r="G81" s="427"/>
      <c r="H81" s="19">
        <v>281</v>
      </c>
      <c r="I81" s="77">
        <v>191850</v>
      </c>
      <c r="J81" s="77"/>
    </row>
    <row r="82" spans="1:10" s="2" customFormat="1" ht="36" customHeight="1">
      <c r="A82" s="404" t="s">
        <v>4</v>
      </c>
      <c r="B82" s="404"/>
      <c r="C82" s="404"/>
      <c r="D82" s="404"/>
      <c r="E82" s="404"/>
      <c r="F82" s="404"/>
      <c r="G82" s="427"/>
      <c r="H82" s="19">
        <v>282</v>
      </c>
      <c r="I82" s="77"/>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v>343650</v>
      </c>
      <c r="J84" s="77">
        <v>10580</v>
      </c>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v>1</v>
      </c>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88124811471; KOMUNALAC d.o.o. za komunalne djelatnosti</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2595</v>
      </c>
      <c r="Q2" s="74">
        <f>IF(OR(MIN(I8:I52)&lt;0,MAX(I8:I52)&gt;0),1,0)</f>
        <v>0</v>
      </c>
      <c r="R2" s="73" t="s">
        <v>2586</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48"/>
      <c r="J3" s="433"/>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88124811471; KOMUNALAC d.o.o. za komunalne djelatnosti</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c r="J9" s="94"/>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2525</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2429</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0</v>
      </c>
      <c r="AB2" s="3" t="s">
        <v>2598</v>
      </c>
    </row>
    <row r="3" spans="1:28" s="3" customFormat="1" ht="19.5" customHeight="1" thickBot="1">
      <c r="A3" s="476" t="str">
        <f>"za razdoblje od "&amp;IF(RefStr!C4&lt;&gt;"",TEXT(RefStr!C4,"DD.MM.YYYY."),"__.__.____.")&amp;" do "&amp;IF(RefStr!F4&lt;&gt;"",TEXT(RefStr!F4,"DD.MM.YYYY."),"__.__.____.")</f>
        <v>za razdoblje od 01.01.2020. do 31.12.2020.</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88124811471; KOMUNALAC d.o.o. za komunalne djelatnosti</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Sabina</cp:lastModifiedBy>
  <cp:lastPrinted>2021-02-05T07:03:20Z</cp:lastPrinted>
  <dcterms:created xsi:type="dcterms:W3CDTF">2008-10-17T11:51:54Z</dcterms:created>
  <dcterms:modified xsi:type="dcterms:W3CDTF">2021-02-05T07:07:15Z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