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35" windowHeight="7710" firstSheet="1" activeTab="5"/>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<sst xmlns="http://schemas.openxmlformats.org/spreadsheetml/2006/main" count="3661" uniqueCount="2962">
  <si>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</si>
  <si>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</si>
  <si>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</si>
  <si>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</si>
  <si>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</si>
  <si>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</si>
  <si>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</si>
  <si>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</si>
  <si>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</si>
  <si>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</si>
  <si>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</si>
  <si>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</si>
  <si>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</si>
  <si>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</si>
  <si>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</si>
  <si>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</si>
  <si>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</si>
  <si>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</si>
  <si>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</si>
  <si>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</si>
  <si>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</si>
  <si>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</si>
  <si>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</si>
  <si>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</si>
  <si>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</si>
  <si>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</si>
  <si>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</si>
  <si>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</si>
  <si>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</si>
  <si>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</si>
  <si>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</si>
  <si>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</si>
  <si>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</si>
  <si>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</si>
  <si>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</si>
  <si>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</si>
  <si>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</si>
  <si>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</si>
  <si>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</si>
  <si>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</si>
  <si>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</si>
  <si>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</si>
  <si>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</si>
  <si>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</si>
  <si>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</si>
  <si>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</si>
  <si>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</si>
  <si>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</si>
  <si>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</si>
  <si>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</si>
  <si>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</si>
  <si>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</si>
  <si>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</si>
  <si>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</si>
  <si>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</si>
  <si>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</si>
  <si>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</si>
  <si>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</si>
  <si>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</si>
  <si>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</si>
  <si>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</si>
  <si>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</si>
  <si>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</si>
  <si>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</si>
  <si>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</si>
  <si>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</si>
  <si>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</si>
  <si>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</si>
  <si>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</si>
  <si>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</si>
  <si>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</si>
  <si>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</si>
  <si>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</si>
  <si>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</si>
  <si>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</si>
  <si>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</si>
  <si>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</si>
  <si>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</si>
  <si>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</si>
  <si>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</si>
  <si>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</si>
  <si>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</si>
  <si>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</si>
  <si>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</si>
  <si>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</si>
  <si>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</si>
  <si>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</si>
  <si>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</si>
  <si>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</si>
  <si>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</si>
  <si>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</si>
  <si>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</si>
  <si>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</si>
  <si>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</si>
  <si>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</si>
  <si>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</si>
  <si>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</si>
  <si>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</si>
  <si>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</si>
  <si>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</si>
  <si>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</si>
  <si>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</si>
  <si>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</si>
  <si>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</si>
  <si>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</si>
  <si>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</si>
  <si>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</si>
  <si>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</si>
  <si>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</si>
  <si>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</si>
  <si>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</si>
  <si>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</si>
  <si>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</si>
  <si>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</si>
  <si>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</si>
  <si>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</si>
  <si>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</si>
  <si>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</si>
  <si>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</si>
  <si>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</si>
  <si>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</si>
  <si>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</si>
  <si>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</si>
  <si>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</si>
  <si>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</si>
  <si>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</si>
  <si>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</si>
  <si>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</si>
  <si>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</si>
  <si>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</si>
  <si>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</si>
  <si>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</si>
  <si>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</si>
  <si>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</si>
  <si>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</si>
  <si>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</si>
  <si>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</si>
  <si>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</si>
  <si>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</si>
  <si>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</si>
  <si>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</si>
  <si>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</si>
  <si>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</si>
  <si>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</si>
  <si>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</si>
  <si>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</si>
  <si>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</si>
  <si>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</si>
  <si>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</si>
  <si>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</si>
  <si>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</si>
  <si>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</si>
  <si>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</si>
  <si>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</si>
  <si>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</si>
  <si>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</si>
  <si>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</si>
  <si>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</si>
  <si>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</si>
  <si>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</si>
  <si>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</si>
  <si>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</si>
  <si>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</si>
  <si>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</si>
  <si>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</si>
  <si>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</si>
  <si>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</si>
  <si>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</si>
  <si>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</si>
  <si>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</si>
  <si>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</si>
  <si>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</si>
  <si>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</si>
  <si>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</si>
  <si>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</si>
  <si>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</si>
  <si>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</si>
  <si>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</si>
  <si>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</si>
  <si>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</si>
  <si>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</si>
  <si>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</si>
  <si>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</si>
  <si>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</si>
  <si>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</si>
  <si>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</si>
  <si>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</si>
  <si>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</si>
  <si>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</si>
  <si>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</si>
  <si>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</si>
  <si>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</si>
  <si>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</si>
  <si>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</si>
  <si>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</si>
  <si>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</si>
  <si>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</si>
  <si>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</si>
  <si>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</si>
  <si>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</si>
  <si>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</si>
  <si>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</si>
  <si>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</si>
  <si>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</si>
  <si>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</si>
  <si>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</si>
  <si>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</si>
  <si>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</si>
  <si>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</si>
  <si>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</si>
  <si>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</si>
  <si>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</si>
  <si>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</si>
  <si>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</si>
  <si>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</si>
  <si>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</si>
  <si>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</si>
  <si>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</si>
  <si>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</si>
  <si>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</si>
  <si>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</si>
  <si>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</si>
  <si>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</si>
  <si>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</si>
  <si>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</si>
  <si>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</si>
  <si>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</si>
  <si>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</si>
  <si>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</si>
  <si>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</si>
  <si>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</si>
  <si>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</si>
  <si>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</si>
  <si>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</si>
  <si>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</si>
  <si>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</si>
  <si>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</si>
  <si>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</si>
  <si>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</si>
  <si>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</si>
  <si>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</si>
  <si>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</si>
  <si>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</si>
  <si>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</si>
  <si>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</si>
  <si>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</si>
  <si>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</si>
  <si>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</si>
  <si>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</si>
  <si>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</si>
  <si>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</si>
  <si>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</si>
  <si>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</si>
  <si>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</si>
  <si>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</si>
  <si>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</si>
  <si>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</si>
  <si>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</si>
  <si>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</si>
  <si>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</si>
  <si>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</si>
  <si>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</si>
  <si>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</si>
  <si>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</si>
  <si>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</si>
  <si>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</si>
  <si>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</si>
  <si>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</si>
  <si>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</si>
  <si>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</si>
  <si>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</si>
  <si>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</si>
  <si>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</si>
  <si>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</si>
  <si>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</si>
  <si>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</si>
  <si>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</si>
  <si>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</si>
  <si>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</si>
  <si>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</si>
  <si>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</si>
  <si>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</si>
  <si>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</si>
  <si>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</si>
  <si>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</si>
  <si>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</si>
  <si>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</si>
  <si>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</si>
  <si>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</si>
  <si>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</si>
  <si>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</si>
  <si>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</si>
  <si>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</si>
  <si>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</si>
  <si>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</si>
  <si>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</si>
  <si>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</si>
  <si>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</si>
  <si>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</si>
  <si>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</si>
  <si>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</si>
  <si>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</si>
  <si>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</si>
  <si>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</si>
  <si>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</si>
  <si>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</si>
  <si>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</si>
  <si>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</si>
  <si>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</si>
  <si>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</si>
  <si>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</si>
  <si>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</si>
  <si>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</si>
  <si>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</si>
  <si>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</si>
  <si>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</si>
  <si>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</si>
  <si>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</si>
  <si>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</si>
  <si>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</si>
  <si>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</si>
  <si>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</si>
  <si>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</si>
  <si>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</si>
  <si>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</si>
  <si>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</si>
  <si>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</si>
  <si>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</si>
  <si>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</si>
  <si>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</si>
  <si>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</si>
  <si>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</si>
  <si>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</si>
  <si>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</si>
  <si>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</si>
  <si>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</si>
  <si>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</si>
  <si>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</si>
  <si>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</si>
  <si>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</si>
  <si>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</si>
  <si>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</si>
  <si>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</si>
  <si>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</si>
  <si>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</si>
  <si>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</si>
  <si>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</si>
  <si>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</si>
  <si>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</si>
  <si>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</si>
  <si>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</si>
  <si>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</si>
  <si>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</si>
  <si>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</si>
  <si>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</si>
  <si>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</si>
  <si>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</si>
  <si>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</si>
  <si>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</si>
  <si>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</si>
  <si>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</si>
  <si>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</si>
  <si>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</si>
  <si>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</si>
  <si>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</si>
  <si>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</si>
  <si>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</si>
  <si>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</si>
  <si>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</si>
  <si>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</si>
  <si>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</si>
  <si>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</si>
  <si>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</si>
  <si>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</si>
  <si>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</si>
  <si>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</si>
  <si>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</si>
  <si>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</si>
  <si>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</si>
  <si>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</si>
  <si>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</si>
  <si>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</si>
  <si>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</si>
  <si>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</si>
  <si>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</si>
  <si>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</si>
  <si>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</si>
  <si>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</si>
  <si>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</si>
  <si>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</si>
  <si>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</si>
  <si>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</si>
  <si>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</si>
  <si>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</si>
  <si>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</si>
  <si>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</si>
  <si>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</si>
  <si>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</si>
  <si>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</si>
  <si>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</si>
  <si>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</si>
  <si>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</si>
  <si>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</si>
  <si>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</si>
  <si>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</si>
  <si>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</si>
  <si>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</si>
  <si>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</si>
  <si>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</si>
  <si>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</si>
  <si>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</si>
  <si>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</si>
  <si>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</si>
  <si>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</si>
  <si>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</si>
  <si>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</si>
  <si>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</si>
  <si>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</si>
  <si>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</si>
  <si>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</si>
  <si>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</si>
  <si>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</si>
  <si>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</si>
  <si>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</si>
  <si>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</si>
  <si>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</si>
  <si>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</si>
  <si>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</si>
  <si>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</si>
  <si>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</si>
  <si>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</si>
  <si>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</si>
  <si>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</si>
  <si>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</si>
  <si>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</si>
  <si>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</si>
  <si>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</si>
  <si>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</si>
  <si>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</si>
  <si>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</si>
  <si>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</si>
  <si>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</si>
  <si>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</si>
  <si>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</si>
  <si>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</si>
  <si>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</si>
  <si>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</si>
  <si>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</si>
  <si>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</si>
  <si>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</si>
  <si>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</si>
  <si>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</si>
  <si>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</si>
  <si>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</si>
  <si>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</si>
  <si>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</si>
  <si>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</si>
  <si>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</si>
  <si>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</si>
  <si>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</si>
  <si>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</si>
  <si>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</si>
  <si>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</si>
  <si>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</si>
  <si>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</si>
  <si>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</si>
  <si>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</si>
  <si>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</si>
  <si>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</si>
  <si>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</si>
  <si>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</si>
  <si>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</si>
  <si>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</si>
  <si>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</si>
  <si>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</si>
  <si>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</si>
  <si>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</si>
  <si>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</si>
  <si>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</si>
  <si>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</si>
  <si>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</si>
  <si>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</si>
  <si>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</si>
  <si>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</si>
  <si>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</si>
  <si>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</si>
  <si>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</si>
  <si>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</si>
  <si>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</si>
  <si>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</si>
  <si>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</si>
  <si>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</si>
  <si>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</si>
  <si>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</si>
  <si>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</si>
  <si>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</si>
  <si>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</si>
  <si>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</si>
  <si>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</si>
  <si>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</si>
  <si>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</si>
  <si>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</si>
  <si>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</si>
  <si>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</si>
  <si>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</si>
  <si>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</si>
  <si>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</si>
  <si>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</si>
  <si>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</si>
  <si>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</si>
  <si>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</si>
  <si>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</si>
  <si>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</si>
  <si>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</si>
  <si>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</si>
  <si>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</si>
  <si>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</si>
  <si>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</si>
  <si>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</si>
  <si>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</si>
  <si>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</si>
  <si>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</si>
  <si>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</si>
  <si>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</si>
  <si>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</si>
  <si>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</si>
  <si>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</si>
  <si>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</si>
  <si>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</si>
  <si>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</si>
  <si>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</si>
  <si>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</si>
  <si>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</si>
  <si>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</si>
  <si>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</si>
  <si>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</si>
  <si>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</si>
  <si>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</si>
  <si>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</si>
  <si>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</si>
  <si>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</si>
  <si>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</si>
  <si>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</si>
  <si>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</si>
  <si>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</si>
  <si>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</si>
  <si>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</si>
  <si>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</si>
  <si>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</si>
  <si>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</si>
  <si>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</si>
  <si>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</si>
  <si>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</si>
  <si>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</si>
  <si>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</si>
  <si>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</si>
  <si>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</si>
  <si>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</si>
  <si>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</si>
  <si>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</si>
  <si>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</si>
  <si>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</si>
  <si>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</si>
  <si>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</si>
  <si>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</si>
  <si>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</si>
  <si>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</si>
  <si>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</si>
  <si>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</si>
  <si>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</si>
  <si>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</si>
  <si>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</si>
  <si>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</si>
  <si>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</si>
  <si>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</si>
  <si>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</si>
  <si>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</si>
  <si>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</si>
  <si>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</si>
  <si>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</si>
  <si>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</si>
  <si>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</si>
  <si>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</si>
  <si>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</si>
  <si>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</si>
  <si>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</si>
  <si>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</si>
  <si>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</si>
  <si>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</si>
  <si>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</si>
  <si>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</si>
  <si>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</si>
  <si>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</si>
  <si>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</si>
  <si>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</si>
  <si>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</si>
  <si>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</si>
  <si>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</si>
  <si>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</si>
  <si>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</si>
  <si>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</si>
  <si>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</si>
  <si>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</si>
  <si>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</si>
  <si>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</si>
  <si>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</si>
  <si>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</si>
  <si>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</si>
  <si>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</si>
  <si>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</si>
  <si>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</si>
  <si>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</si>
  <si>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</si>
  <si>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</si>
  <si>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</si>
  <si>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</si>
  <si>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</si>
  <si>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</si>
  <si>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</si>
  <si>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</si>
  <si>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</si>
  <si>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</si>
  <si>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</si>
  <si>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</si>
  <si>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</si>
  <si>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</si>
  <si>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</si>
  <si>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</si>
  <si>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</si>
  <si>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</si>
  <si>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</si>
  <si>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</si>
  <si>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</si>
  <si>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</si>
  <si>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</si>
  <si>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</si>
  <si>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</si>
  <si>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</si>
  <si>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</si>
  <si>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</si>
  <si>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</si>
  <si>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</si>
  <si>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</si>
  <si>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</si>
  <si>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</si>
  <si>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</si>
  <si>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</si>
  <si>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</si>
  <si>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</si>
  <si>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</si>
  <si>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</si>
  <si>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</si>
  <si>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</si>
  <si>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</si>
  <si>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</si>
  <si>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</si>
  <si>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</si>
  <si>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</si>
  <si>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</si>
  <si>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</si>
  <si>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</si>
  <si>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</si>
  <si>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</si>
  <si>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</si>
  <si>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</si>
  <si>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</si>
  <si>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</si>
  <si>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</si>
  <si>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</si>
  <si>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</si>
  <si>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</si>
  <si>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</si>
  <si>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</si>
  <si>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</si>
  <si>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</si>
  <si>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</si>
  <si>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</si>
  <si>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</si>
  <si>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</si>
  <si>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</si>
  <si>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</si>
  <si>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</si>
  <si>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</si>
  <si>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</si>
  <si>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</si>
  <si>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</si>
  <si>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</si>
  <si>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</si>
  <si>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</si>
  <si>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</si>
  <si>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</si>
  <si>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</si>
  <si>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</si>
  <si>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</si>
  <si>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</si>
  <si>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</si>
  <si>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</si>
  <si>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</si>
  <si>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</si>
  <si>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</si>
  <si>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</si>
  <si>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</si>
  <si>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</si>
  <si>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</si>
  <si>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</si>
  <si>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</si>
  <si>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</si>
  <si>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</si>
  <si>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</si>
  <si>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</si>
  <si>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</si>
  <si>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</si>
  <si>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</si>
  <si>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</si>
  <si>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</si>
  <si>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</si>
  <si>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</si>
  <si>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</si>
  <si>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</si>
  <si>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</si>
  <si>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</si>
  <si>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</si>
  <si>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</si>
  <si>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</si>
  <si>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</si>
  <si>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</si>
  <si>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</si>
  <si>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</si>
  <si>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</si>
  <si>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</si>
  <si>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</si>
  <si>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</si>
  <si>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</si>
  <si>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</si>
  <si>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</si>
  <si>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</si>
  <si>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</si>
  <si>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</si>
  <si>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</si>
  <si>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</si>
  <si>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</si>
  <si>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</si>
  <si>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</si>
  <si>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</si>
  <si>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</si>
  <si>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</si>
  <si>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</si>
  <si>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</si>
  <si>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</si>
  <si>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</si>
  <si>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</si>
  <si>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</si>
  <si>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</si>
  <si>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</si>
  <si>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</si>
  <si>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</si>
  <si>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</si>
  <si>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</si>
  <si>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</si>
  <si>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</si>
  <si>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</si>
  <si>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</si>
  <si>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</si>
  <si>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</si>
  <si>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</si>
  <si>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</si>
  <si>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</si>
  <si>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</si>
  <si>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</si>
  <si>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</si>
  <si>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</si>
  <si>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</si>
  <si>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</si>
  <si>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</si>
  <si>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</si>
  <si>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</si>
  <si>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</si>
  <si>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</si>
  <si>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</si>
  <si>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</si>
  <si>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</si>
  <si>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</si>
  <si>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</si>
  <si>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</si>
  <si>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</si>
  <si>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</si>
  <si>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</si>
  <si>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</si>
  <si>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</si>
  <si>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</si>
  <si>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</si>
  <si>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</si>
  <si>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</si>
  <si>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</si>
  <si>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</si>
  <si>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</si>
  <si>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</si>
  <si>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</si>
  <si>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</si>
  <si>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</si>
  <si>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</si>
  <si>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</si>
  <si>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</si>
  <si>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</si>
  <si>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</si>
  <si>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</si>
  <si>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</si>
  <si>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</si>
  <si>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</si>
  <si>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</si>
  <si>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</si>
  <si>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</si>
  <si>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</si>
  <si>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</si>
  <si>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</si>
  <si>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</si>
  <si>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</si>
  <si>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</si>
  <si>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</si>
  <si>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</si>
  <si>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</si>
  <si>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</si>
  <si>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</si>
  <si>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</si>
  <si>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</si>
  <si>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</si>
  <si>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</si>
  <si>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</si>
  <si>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</si>
  <si>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</si>
  <si>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</si>
  <si>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</si>
  <si>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</si>
  <si>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</si>
  <si>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</si>
  <si>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</si>
  <si>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</si>
  <si>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</si>
  <si>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</si>
  <si>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</si>
  <si>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</si>
  <si>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</si>
  <si>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</si>
  <si>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</si>
  <si>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</si>
  <si>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</si>
  <si>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</si>
  <si>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</si>
  <si>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</si>
  <si>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</si>
  <si>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</si>
  <si>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</si>
  <si>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</si>
  <si>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</si>
  <si>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</si>
  <si>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</si>
  <si>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</si>
  <si>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</si>
  <si>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</si>
  <si>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</si>
  <si>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</si>
  <si>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</si>
  <si>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</si>
  <si>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</si>
  <si>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</si>
  <si>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</si>
  <si>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</si>
  <si>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</si>
  <si>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</si>
  <si>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</si>
  <si>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</si>
  <si>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</si>
  <si>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</si>
  <si>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</si>
  <si>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</si>
  <si>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</si>
  <si>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</si>
  <si>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</si>
  <si>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</si>
  <si>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</si>
  <si>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</si>
  <si>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</si>
  <si>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</si>
  <si>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</si>
  <si>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</si>
  <si>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</si>
  <si>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</si>
  <si>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</si>
  <si>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</si>
  <si>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</si>
  <si>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</si>
  <si>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</si>
  <si>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</si>
  <si>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</si>
  <si>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</si>
  <si>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</si>
  <si>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</si>
  <si>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</si>
  <si>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</si>
  <si>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</si>
  <si>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</si>
  <si>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</si>
  <si>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</si>
  <si>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</si>
  <si>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</si>
  <si>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</si>
  <si>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</si>
  <si>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</si>
  <si>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</si>
  <si>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</si>
  <si>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</si>
  <si>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</si>
  <si>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</si>
  <si>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</si>
  <si>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</si>
  <si>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</si>
  <si>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</si>
  <si>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</si>
  <si>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</si>
  <si>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</si>
  <si>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</si>
  <si>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</si>
  <si>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</si>
  <si>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</si>
  <si>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</si>
  <si>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</si>
  <si>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</si>
  <si>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</si>
  <si>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</si>
  <si>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</si>
  <si>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</si>
  <si>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</si>
  <si>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</si>
  <si>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</si>
  <si>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</si>
  <si>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</si>
  <si>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</si>
  <si>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</si>
  <si>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</si>
  <si>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</si>
  <si>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</si>
  <si>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</si>
  <si>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</si>
  <si>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</si>
  <si>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</si>
  <si>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</si>
  <si>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</si>
  <si>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</si>
  <si>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</si>
  <si>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</si>
  <si>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</si>
  <si>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</si>
  <si>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</si>
  <si>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</si>
  <si>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</si>
  <si>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</si>
  <si>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</si>
  <si>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</si>
  <si>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</si>
  <si>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</si>
  <si>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</si>
  <si>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</si>
  <si>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</si>
  <si>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</si>
  <si>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</si>
  <si>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</si>
  <si>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</si>
  <si>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</si>
  <si>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</si>
  <si>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</si>
  <si>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</si>
  <si>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</si>
  <si>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</si>
  <si>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</si>
  <si>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</si>
  <si>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</si>
  <si>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</si>
  <si>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</si>
  <si>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</si>
  <si>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</si>
  <si>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</si>
  <si>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</si>
  <si>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</si>
  <si>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</si>
  <si>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</si>
  <si>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</si>
  <si>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</si>
  <si>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</si>
  <si>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</si>
  <si>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</si>
  <si>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</si>
  <si>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</si>
  <si>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</si>
  <si>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</si>
  <si>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</si>
  <si>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</si>
  <si>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</si>
  <si>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</si>
  <si>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</si>
  <si>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</si>
  <si>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</si>
  <si>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</si>
  <si>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</si>
  <si>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</si>
  <si>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</si>
  <si>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</si>
  <si>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</si>
  <si>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</si>
  <si>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</si>
  <si>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</si>
  <si>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</si>
  <si>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</si>
  <si>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</si>
  <si>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</si>
  <si>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</si>
  <si>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</si>
  <si>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</si>
  <si>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</si>
  <si>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</si>
  <si>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</si>
  <si>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</si>
  <si>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</si>
  <si>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</si>
  <si>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</si>
  <si>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</si>
  <si>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</si>
  <si>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</si>
  <si>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</si>
  <si>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</si>
  <si>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</si>
  <si>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</si>
  <si>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</si>
  <si>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</si>
  <si>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</si>
  <si>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</si>
  <si>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</si>
  <si>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</si>
  <si>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</si>
  <si>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</si>
  <si>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</si>
  <si>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</si>
  <si>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</si>
  <si>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</si>
  <si>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</si>
  <si>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</si>
  <si>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</si>
  <si>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</si>
  <si>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</si>
  <si>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</si>
  <si>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</si>
  <si>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</si>
  <si>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</si>
  <si>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</si>
  <si>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</si>
  <si>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</si>
  <si>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</si>
  <si>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</si>
  <si>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</si>
  <si>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</si>
  <si>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</si>
  <si>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</si>
  <si>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</si>
  <si>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</si>
  <si>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</si>
  <si>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</si>
  <si>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</si>
  <si>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</si>
  <si>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</si>
  <si>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</si>
  <si>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</si>
  <si>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</si>
  <si>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</si>
  <si>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</si>
  <si>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</si>
  <si>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</si>
  <si>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</si>
  <si>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</si>
  <si>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</si>
  <si>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</si>
  <si>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</si>
  <si>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</si>
  <si>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</si>
  <si>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</si>
  <si>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</si>
  <si>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</si>
  <si>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</si>
  <si>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</si>
  <si>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</si>
  <si>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</si>
  <si>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</si>
  <si>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</si>
  <si>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</si>
  <si>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</si>
  <si>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</si>
  <si>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</si>
  <si>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</si>
  <si>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</si>
  <si>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</si>
  <si>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</si>
  <si>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</si>
  <si>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</si>
  <si>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</si>
  <si>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</si>
  <si>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</si>
  <si>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</si>
  <si>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</si>
  <si>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</si>
  <si>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</si>
  <si>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</si>
  <si>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</si>
  <si>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</si>
  <si>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</si>
  <si>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</si>
  <si>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</si>
  <si>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</si>
  <si>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</si>
  <si>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</si>
  <si>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</si>
  <si>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</si>
  <si>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</si>
  <si>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</si>
  <si>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</si>
  <si>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</si>
  <si>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</si>
  <si>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</si>
  <si>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</si>
  <si>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</si>
  <si>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</si>
  <si>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</si>
  <si>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</si>
  <si>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</si>
  <si>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</si>
  <si>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</si>
  <si>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</si>
  <si>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</si>
  <si>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</si>
  <si>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</si>
  <si>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</si>
  <si>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</si>
  <si>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</si>
  <si>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</si>
  <si>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</si>
  <si>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</si>
  <si>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</si>
  <si>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</si>
  <si>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</si>
  <si>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</si>
  <si>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</si>
  <si>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</si>
  <si>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</si>
  <si>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</si>
  <si>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</si>
  <si>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</si>
  <si>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</si>
  <si>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</si>
  <si>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</si>
  <si>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</si>
  <si>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</si>
  <si>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</si>
  <si>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</si>
  <si>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</si>
  <si>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</si>
  <si>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</si>
  <si>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</si>
  <si>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</si>
  <si>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</si>
  <si>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</si>
  <si>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</si>
  <si>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</si>
  <si>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</si>
  <si>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</si>
  <si>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</si>
  <si>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</si>
  <si>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</si>
  <si>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</si>
  <si>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</si>
  <si>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</si>
  <si>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</si>
  <si>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</si>
  <si>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</si>
  <si>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</si>
  <si>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</si>
  <si>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</si>
  <si>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</si>
  <si>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</si>
  <si>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</si>
  <si>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</si>
  <si>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</si>
  <si>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</si>
  <si>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</si>
  <si>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</si>
  <si>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</si>
  <si>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</si>
  <si>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</si>
  <si>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</si>
  <si>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</si>
  <si>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</si>
  <si>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</si>
  <si>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</si>
  <si>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</si>
  <si>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</si>
  <si>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</si>
  <si>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</si>
  <si>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</si>
  <si>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</si>
  <si>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</si>
  <si>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</si>
  <si>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</si>
  <si>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</si>
  <si>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</si>
  <si>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</si>
  <si>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</si>
  <si>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</si>
  <si>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</si>
  <si>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</si>
  <si>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</si>
  <si>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</si>
  <si>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</si>
  <si>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</si>
  <si>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</si>
  <si>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</si>
  <si>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</si>
  <si>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</si>
  <si>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</si>
  <si>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</si>
  <si>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</si>
  <si>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</si>
  <si>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</si>
  <si>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</si>
  <si>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</si>
  <si>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</si>
  <si>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</si>
  <si>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</si>
  <si>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</si>
  <si>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</si>
  <si>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</si>
  <si>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</si>
  <si>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</si>
  <si>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</si>
  <si>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</si>
  <si>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</si>
  <si>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</si>
  <si>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</si>
  <si>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</si>
  <si>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</si>
  <si>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</si>
  <si>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</si>
  <si>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</si>
  <si>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</si>
  <si>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</si>
  <si>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</si>
  <si>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</si>
  <si>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</si>
  <si>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</si>
  <si>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</si>
  <si>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</si>
  <si>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</si>
  <si>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</si>
  <si>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</si>
  <si>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</si>
  <si>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</si>
  <si>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</si>
  <si>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</si>
  <si>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</si>
  <si>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</si>
  <si>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</si>
  <si>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</si>
  <si>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</si>
  <si>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</si>
  <si>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</si>
  <si>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</si>
  <si>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</si>
  <si>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</si>
  <si>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</si>
  <si>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</si>
  <si>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</si>
  <si>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</si>
  <si>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</si>
  <si>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</si>
  <si>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</si>
  <si>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</si>
  <si>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</si>
  <si>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</si>
  <si>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</si>
  <si>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</si>
  <si>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</si>
  <si>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</si>
  <si>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</si>
  <si>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</si>
  <si>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</si>
  <si>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</si>
  <si>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</si>
  <si>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</si>
  <si>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</si>
  <si>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</si>
  <si>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</si>
  <si>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</si>
  <si>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</si>
  <si>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</si>
  <si>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</si>
  <si>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</si>
  <si>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</si>
  <si>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</si>
  <si>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</si>
  <si>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</si>
  <si>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</si>
  <si>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</si>
  <si>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</si>
  <si>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</si>
  <si>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</si>
  <si>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</si>
  <si>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</si>
  <si>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</si>
  <si>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</si>
  <si>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</si>
  <si>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</si>
  <si>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</si>
  <si>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</si>
  <si>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</si>
  <si>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</si>
  <si>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</si>
  <si>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</si>
  <si>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</si>
  <si>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</si>
  <si>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</si>
  <si>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</si>
  <si>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</si>
  <si>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</si>
  <si>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</si>
  <si>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</si>
  <si>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</si>
  <si>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</si>
  <si>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</si>
  <si>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</si>
  <si>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</si>
  <si>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</si>
  <si>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</si>
  <si>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</si>
  <si>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</si>
  <si>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</si>
  <si>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</si>
  <si>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</si>
  <si>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</si>
  <si>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</si>
  <si>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</si>
  <si>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</si>
  <si>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</si>
  <si>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</si>
  <si>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</si>
  <si>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</si>
  <si>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</si>
  <si>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</si>
  <si>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</si>
  <si>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</si>
  <si>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</si>
  <si>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</si>
  <si>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</si>
  <si>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</si>
  <si>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</si>
  <si>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</si>
  <si>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</si>
  <si>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</si>
  <si>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</si>
  <si>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</si>
  <si>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</si>
  <si>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</si>
  <si>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</si>
  <si>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</si>
  <si>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</si>
  <si>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</si>
  <si>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</si>
  <si>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</si>
  <si>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</si>
  <si>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</si>
  <si>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</si>
  <si>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</si>
  <si>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</si>
  <si>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</si>
  <si>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</si>
  <si>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</si>
  <si>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</si>
  <si>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</si>
  <si>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</si>
  <si>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</si>
  <si>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</si>
  <si>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</si>
  <si>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</si>
  <si>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</si>
  <si>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</si>
  <si>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</si>
  <si>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</si>
  <si>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</si>
  <si>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</si>
  <si>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</si>
  <si>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</si>
  <si>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</si>
  <si>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</si>
  <si>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</si>
  <si>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</si>
  <si>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</si>
  <si>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</si>
  <si>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</si>
  <si>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</si>
  <si>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</si>
  <si>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</si>
  <si>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</si>
  <si>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</si>
  <si>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</si>
  <si>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</si>
  <si>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</si>
  <si>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</si>
  <si>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</si>
  <si>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</si>
  <si>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</si>
  <si>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</si>
  <si>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</si>
  <si>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</si>
  <si>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</si>
  <si>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</si>
  <si>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</si>
  <si>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</si>
  <si>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</si>
  <si>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</si>
  <si>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</si>
  <si>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</si>
  <si>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</si>
  <si>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</si>
  <si>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</si>
  <si>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</si>
  <si>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</si>
  <si>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</si>
  <si>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</si>
  <si>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</si>
  <si>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</si>
  <si>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</si>
  <si>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</si>
  <si>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</si>
  <si>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</si>
  <si>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</si>
  <si>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</si>
  <si>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</si>
  <si>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</si>
  <si>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</si>
  <si>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</si>
  <si>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</si>
  <si>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</si>
  <si>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</si>
  <si>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</si>
  <si>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</si>
  <si>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</si>
  <si>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</si>
  <si>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</si>
  <si>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</si>
  <si>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</si>
  <si>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</si>
  <si>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</si>
  <si>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</si>
  <si>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</si>
  <si>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</si>
  <si>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</si>
  <si>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</si>
  <si>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</si>
  <si>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</si>
  <si>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</si>
  <si>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</si>
  <si>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</si>
  <si>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</si>
  <si>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</si>
  <si>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</si>
  <si>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</si>
  <si>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</si>
  <si>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</si>
  <si>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</si>
  <si>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</si>
  <si>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</si>
  <si>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</si>
  <si>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</si>
  <si>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</si>
  <si>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</si>
  <si>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</si>
  <si>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</si>
  <si>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</si>
  <si>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</si>
  <si>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</si>
  <si>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</si>
  <si>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</si>
  <si>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</si>
  <si>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</si>
  <si>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</si>
  <si>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</si>
  <si>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</si>
  <si>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</si>
  <si>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</si>
  <si>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</si>
  <si>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</si>
  <si>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</si>
  <si>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</si>
  <si>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</si>
  <si>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</si>
  <si>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</si>
  <si>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</si>
  <si>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</si>
  <si>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</si>
  <si>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</si>
  <si>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</si>
  <si>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</si>
  <si>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</si>
  <si>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</si>
  <si>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</si>
  <si>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</si>
  <si>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</si>
  <si>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</si>
  <si>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</si>
  <si>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</si>
  <si>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</si>
  <si>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</si>
  <si>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</si>
  <si>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</si>
  <si>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</si>
  <si>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</si>
  <si>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</si>
  <si>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</si>
  <si>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</si>
  <si>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</si>
  <si>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</si>
  <si>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</si>
  <si>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</si>
  <si>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</si>
  <si>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</si>
  <si>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</si>
  <si>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</si>
  <si>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</si>
  <si>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</si>
  <si>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</si>
  <si>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</si>
  <si>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</si>
  <si>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</si>
  <si>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</si>
  <si>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</si>
  <si>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</si>
  <si>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</si>
  <si>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</si>
  <si>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</si>
  <si>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</si>
  <si>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</si>
  <si>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</si>
  <si>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</si>
  <si>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</si>
  <si>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</si>
  <si>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</si>
  <si>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</si>
  <si>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</si>
  <si>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</si>
  <si>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</si>
  <si>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</si>
  <si>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</si>
  <si>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</si>
  <si>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</si>
  <si>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</si>
  <si>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</si>
  <si>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</si>
  <si>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</si>
  <si>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</si>
  <si>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</si>
  <si>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</si>
  <si>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</si>
  <si>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</si>
  <si>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</si>
  <si>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</si>
  <si>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</si>
  <si>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</si>
  <si>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</si>
  <si>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</si>
  <si>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</si>
  <si>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</si>
  <si>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</si>
  <si>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</si>
  <si>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</si>
  <si>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</si>
  <si>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</si>
  <si>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</si>
  <si>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</si>
  <si>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</si>
  <si>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</si>
  <si>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</si>
  <si>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</si>
  <si>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</si>
  <si>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</si>
  <si>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</si>
  <si>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</si>
  <si>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</si>
  <si>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</si>
  <si>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</si>
  <si>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</si>
  <si>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</si>
  <si>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</si>
  <si>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</si>
  <si>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</si>
  <si>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</si>
  <si>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</si>
  <si>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</si>
  <si>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</si>
  <si>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</si>
  <si>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</si>
  <si>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</si>
  <si>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</si>
  <si>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</si>
  <si>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</si>
  <si>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</si>
  <si>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</si>
  <si>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</si>
  <si>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</si>
  <si>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</si>
  <si>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</si>
  <si>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</si>
  <si>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</si>
  <si>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</si>
  <si>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</si>
  <si>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</si>
  <si>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</si>
  <si>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</si>
  <si>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</si>
  <si>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</si>
  <si>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</si>
  <si>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</si>
  <si>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</si>
  <si>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</si>
  <si>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</si>
  <si>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</si>
  <si>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</si>
  <si>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</si>
  <si>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</si>
  <si>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</si>
  <si>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</si>
  <si>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</si>
  <si>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</si>
  <si>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</si>
  <si>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</si>
  <si>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</si>
  <si>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</si>
  <si>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</si>
  <si>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</si>
  <si>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</si>
  <si>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</si>
  <si>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</si>
  <si>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</si>
  <si>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</si>
  <si>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</si>
  <si>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</si>
  <si>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</si>
  <si>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</si>
  <si>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</si>
  <si>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</si>
  <si>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</si>
  <si>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</si>
  <si>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</si>
  <si>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</si>
  <si>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</si>
  <si>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</si>
  <si>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</si>
  <si>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</si>
  <si>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</si>
  <si>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</si>
  <si>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</si>
  <si>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</si>
  <si>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</si>
  <si>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</si>
  <si>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</si>
  <si>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</si>
  <si>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</si>
  <si>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</si>
  <si>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</si>
  <si>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</si>
  <si>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</si>
  <si>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</si>
  <si>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</si>
  <si>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</si>
  <si>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</si>
  <si>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</si>
  <si>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</si>
  <si>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</si>
  <si>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</si>
  <si>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</si>
  <si>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</si>
  <si>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</si>
  <si>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</si>
  <si>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</si>
  <si>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</si>
  <si>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</si>
  <si>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</si>
  <si>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</si>
  <si>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</si>
  <si>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</si>
  <si>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</si>
  <si>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</si>
  <si>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</si>
  <si>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</si>
  <si>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</si>
  <si>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</si>
  <si>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</si>
  <si>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</si>
  <si>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</si>
  <si>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</si>
  <si>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</si>
  <si>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</si>
  <si>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</si>
  <si>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</si>
  <si>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</si>
  <si>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</si>
  <si>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</si>
  <si>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</si>
  <si>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</si>
  <si>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</si>
  <si>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</si>
  <si>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</si>
  <si>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</si>
  <si>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</si>
  <si>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</si>
  <si>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</si>
  <si>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</si>
  <si>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</si>
  <si>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</si>
  <si>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</si>
  <si>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</si>
  <si>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</si>
  <si>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</si>
  <si>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</si>
  <si>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</si>
  <si>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</si>
  <si>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</si>
  <si>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</si>
  <si>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</si>
  <si>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</si>
  <si>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</si>
  <si>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</si>
  <si>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</si>
  <si>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</si>
  <si>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</si>
  <si>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</si>
  <si>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</si>
  <si>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</si>
  <si>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</si>
  <si>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</si>
  <si>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</si>
  <si>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</si>
  <si>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</si>
  <si>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</si>
  <si>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</si>
  <si>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</si>
  <si>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</si>
  <si>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</si>
  <si>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</si>
  <si>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</si>
  <si>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</si>
  <si>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</si>
  <si>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</si>
  <si>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</si>
  <si>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</si>
  <si>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</si>
  <si>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</si>
  <si>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</si>
  <si>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</si>
  <si>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</si>
  <si>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</si>
  <si>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</si>
  <si>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</si>
  <si>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</si>
  <si>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</si>
  <si>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</si>
  <si>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</si>
  <si>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</si>
  <si>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</si>
  <si>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</si>
  <si>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</si>
  <si>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</si>
  <si>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</si>
  <si>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</si>
  <si>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</si>
  <si>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</si>
  <si>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</si>
  <si>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</si>
  <si>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</si>
  <si>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</si>
  <si>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</si>
  <si>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</si>
  <si>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</si>
  <si>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</si>
  <si>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</si>
  <si>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</si>
  <si>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</si>
  <si>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</si>
  <si>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</si>
  <si>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</si>
  <si>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</si>
  <si>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</si>
  <si>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</si>
  <si>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</si>
  <si>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</si>
  <si>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</si>
  <si>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</si>
  <si>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</si>
  <si>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</si>
  <si>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</si>
  <si>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</si>
  <si>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</si>
  <si>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</si>
  <si>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</si>
  <si>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</si>
  <si>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</si>
  <si>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</si>
  <si>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</si>
  <si>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</si>
  <si>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</si>
  <si>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</si>
  <si>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</si>
  <si>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</si>
  <si>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</si>
  <si>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</si>
  <si>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</si>
  <si>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</si>
  <si>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</si>
  <si>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</si>
  <si>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</si>
  <si>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</si>
  <si>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</si>
  <si>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</si>
  <si>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</si>
  <si>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</si>
  <si>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</si>
  <si>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</si>
  <si>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</si>
  <si>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</si>
  <si>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</si>
  <si>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</si>
  <si>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</si>
  <si>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</si>
  <si>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</si>
  <si>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</si>
  <si>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</si>
  <si>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</si>
  <si>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</si>
  <si>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</si>
  <si>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</si>
  <si>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</si>
  <si>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</si>
  <si>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</si>
  <si>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</si>
  <si>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</si>
  <si>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</si>
  <si>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</si>
  <si>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</si>
  <si>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</si>
  <si>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</si>
  <si>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</si>
  <si>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</si>
  <si>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</si>
  <si>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</si>
  <si>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</si>
  <si>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</si>
  <si>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</si>
  <si>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</si>
  <si>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</si>
  <si>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</si>
  <si>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</si>
  <si>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</si>
  <si>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</si>
  <si>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</si>
  <si>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</si>
  <si>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</si>
  <si>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</si>
  <si>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</si>
  <si>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</si>
  <si>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</si>
  <si>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</si>
  <si>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</si>
  <si>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</si>
  <si>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</si>
  <si>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</si>
  <si>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</si>
  <si>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</si>
  <si>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</si>
  <si>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</si>
  <si>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</si>
  <si>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</si>
  <si>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</si>
  <si>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</si>
  <si>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</si>
  <si>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</si>
  <si>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</si>
  <si>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</si>
  <si>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</si>
  <si>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</si>
  <si>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</si>
  <si>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</si>
  <si>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</si>
  <si>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</si>
  <si>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</si>
  <si>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</si>
  <si>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</si>
  <si>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</si>
  <si>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</si>
  <si>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</si>
  <si>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</si>
  <si>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</si>
  <si>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</si>
  <si>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</si>
  <si>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</si>
  <si>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</si>
  <si>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</si>
  <si>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</si>
  <si>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</si>
  <si>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</si>
  <si>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</si>
  <si>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</si>
  <si>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</si>
  <si>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</si>
  <si>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</si>
  <si>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</si>
  <si>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</si>
  <si>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</si>
  <si>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</si>
  <si>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</si>
  <si>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</si>
  <si>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</si>
  <si>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</si>
  <si>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</si>
  <si>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</si>
  <si>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</si>
  <si>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</si>
  <si>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</si>
  <si>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</si>
  <si>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</si>
  <si>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</si>
  <si>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</si>
  <si>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</si>
  <si>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</si>
  <si>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</si>
  <si>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</si>
  <si>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</si>
  <si>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</si>
  <si>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</si>
  <si>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</si>
  <si>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</si>
  <si>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</si>
  <si>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</si>
  <si>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</si>
  <si>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</si>
  <si>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</si>
  <si>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</si>
  <si>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</si>
  <si>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</si>
  <si>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</si>
  <si>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</si>
  <si>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</si>
  <si>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</si>
  <si>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</si>
  <si>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</si>
  <si>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</si>
  <si>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</si>
  <si>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</si>
  <si>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</si>
  <si>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</si>
  <si>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</si>
  <si>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</si>
  <si>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</si>
  <si>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</si>
  <si>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</si>
  <si>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</si>
  <si>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</si>
  <si>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</si>
  <si>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</si>
  <si>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</si>
  <si>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</si>
  <si>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</si>
  <si>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</si>
  <si>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</si>
  <si>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</si>
  <si>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</si>
  <si>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</si>
  <si>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</si>
  <si>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</si>
  <si>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</si>
  <si>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</si>
  <si>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</si>
  <si>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</si>
  <si>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</si>
  <si>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</si>
  <si>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</si>
  <si>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</si>
  <si>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</si>
  <si>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</si>
  <si>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</si>
  <si>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</si>
  <si>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</si>
  <si>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</si>
  <si>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</si>
  <si>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</si>
  <si>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</si>
  <si>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</si>
  <si>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</si>
  <si>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</si>
  <si>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</si>
  <si>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</si>
  <si>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</si>
  <si>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</si>
  <si>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</si>
  <si>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</si>
  <si>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</si>
  <si>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</si>
  <si>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</si>
  <si>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</si>
  <si>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</si>
  <si>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</si>
  <si>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</si>
  <si>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</si>
  <si>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</si>
  <si>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</si>
  <si>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</si>
  <si>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</si>
  <si>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</si>
  <si>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</si>
  <si>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</si>
  <si>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</si>
  <si>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</si>
  <si>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</si>
  <si>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</si>
  <si>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</si>
  <si>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</si>
  <si>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</si>
  <si>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</si>
  <si>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</si>
  <si>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</si>
  <si>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</si>
  <si>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</si>
  <si>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</si>
  <si>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</si>
  <si>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</si>
  <si>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</si>
  <si>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</si>
  <si>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</si>
  <si>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</si>
  <si>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</si>
  <si>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</si>
  <si>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</si>
  <si>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</si>
  <si>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</si>
  <si>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</si>
  <si>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</si>
  <si>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</si>
  <si>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</si>
  <si>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</si>
  <si>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</si>
  <si>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</si>
  <si>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</si>
  <si>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</si>
  <si>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</si>
  <si>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</si>
  <si>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</si>
  <si>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</si>
  <si>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</si>
  <si>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</si>
  <si>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</si>
  <si>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</si>
  <si>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</si>
  <si>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</si>
  <si>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</si>
  <si>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</si>
  <si>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</si>
  <si>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</si>
  <si>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</si>
  <si>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</si>
  <si>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</si>
  <si>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</si>
  <si>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</si>
  <si>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</si>
  <si>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</si>
  <si>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</si>
  <si>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</si>
  <si>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</si>
  <si>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</si>
  <si>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</si>
  <si>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</si>
  <si>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</si>
  <si>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</si>
  <si>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</si>
  <si>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</si>
  <si>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</si>
  <si>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</si>
  <si>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</si>
  <si>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</si>
  <si>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</si>
  <si>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</si>
  <si>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</si>
  <si>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</si>
  <si>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</si>
  <si>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</si>
  <si>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</si>
  <si>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</si>
  <si>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</si>
  <si>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</si>
  <si>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</si>
  <si>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</si>
  <si>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</si>
  <si>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</si>
  <si>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</si>
  <si>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</si>
  <si>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</si>
  <si>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</si>
  <si>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</si>
  <si>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</si>
  <si>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</si>
  <si>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</si>
  <si>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</si>
  <si>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</si>
  <si>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</si>
  <si>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</si>
  <si>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</si>
  <si>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</si>
  <si>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</si>
  <si>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</si>
  <si>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</si>
  <si>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</si>
  <si>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</si>
  <si>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</si>
  <si>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</si>
  <si>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</si>
  <si>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</si>
  <si>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</si>
  <si>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</si>
  <si>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</si>
  <si>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</si>
  <si>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</si>
  <si>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</si>
  <si>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</si>
  <si>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</si>
  <si>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</si>
  <si>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</si>
  <si>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</si>
  <si>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</si>
  <si>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</si>
  <si>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</si>
  <si>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</si>
  <si>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</si>
  <si>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</si>
  <si>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</si>
  <si>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</si>
  <si>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</si>
  <si>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</si>
  <si>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</si>
  <si>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</si>
  <si>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</si>
  <si>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</si>
  <si>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</si>
  <si>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</si>
  <si>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</si>
  <si>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</si>
  <si>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</si>
  <si>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</si>
  <si>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</si>
  <si>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</si>
  <si>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</si>
  <si>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</si>
  <si>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</si>
  <si>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</si>
  <si>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</si>
  <si>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</si>
  <si>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</si>
  <si>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</si>
  <si>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</si>
  <si>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</si>
  <si>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</si>
  <si>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</si>
  <si>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</si>
  <si>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</si>
  <si>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</si>
  <si>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</si>
  <si>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</si>
  <si>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</si>
  <si>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</si>
  <si>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</si>
  <si>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</si>
  <si>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</si>
  <si>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</si>
  <si>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</si>
  <si>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</si>
  <si>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</si>
  <si>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</si>
  <si>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</si>
  <si>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</si>
  <si>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</si>
  <si>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</si>
  <si>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</si>
  <si>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</si>
  <si>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</si>
  <si>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</si>
  <si>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</si>
  <si>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</si>
  <si>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</si>
  <si>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</si>
  <si>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</si>
  <si>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</si>
  <si>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</si>
  <si>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</si>
  <si>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</si>
  <si>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</si>
  <si>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</si>
  <si>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</si>
  <si>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</si>
  <si>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</si>
  <si>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</si>
  <si>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</si>
  <si>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</si>
  <si>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</si>
  <si>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</si>
  <si>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</si>
  <si>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</si>
  <si>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</si>
  <si>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</si>
  <si>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</si>
  <si>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</si>
  <si>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</si>
  <si>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</si>
  <si>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</si>
  <si>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</si>
  <si>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</si>
  <si>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</si>
  <si>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</si>
  <si>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</si>
  <si>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</si>
  <si>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</si>
  <si>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</si>
  <si>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</si>
  <si>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</si>
  <si>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</si>
  <si>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</si>
  <si>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</si>
  <si>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</si>
  <si>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</si>
  <si>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</si>
  <si>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</si>
  <si>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</si>
  <si>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</si>
  <si>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</si>
  <si>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</si>
  <si>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</si>
  <si>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</si>
  <si>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</si>
  <si>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</si>
  <si>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</si>
  <si>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</si>
  <si>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</si>
  <si>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</si>
  <si>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</si>
  <si>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</si>
  <si>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</si>
  <si>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</si>
  <si>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</si>
  <si>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</si>
  <si>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</si>
  <si>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</si>
  <si>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</si>
  <si>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</si>
  <si>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</si>
  <si>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</si>
  <si>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</si>
  <si>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</si>
  <si>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</si>
  <si>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</si>
  <si>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</si>
  <si>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</si>
  <si>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</si>
  <si>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</si>
  <si>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</si>
  <si>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</si>
  <si>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</si>
  <si>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</si>
  <si>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</si>
  <si>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</si>
  <si>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</si>
  <si>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</si>
  <si>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</si>
  <si>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</si>
  <si>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</si>
  <si>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</si>
  <si>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</si>
  <si>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</si>
  <si>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</si>
  <si>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</si>
  <si>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</si>
  <si>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</si>
  <si>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</si>
  <si>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</si>
  <si>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</si>
  <si>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</si>
  <si>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</si>
  <si>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</si>
  <si>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</si>
  <si>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</si>
  <si>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</si>
  <si>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</si>
  <si>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</si>
  <si>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</si>
  <si>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</si>
  <si>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</si>
  <si>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</si>
  <si>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</si>
  <si>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</si>
  <si>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</si>
  <si>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</si>
  <si>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</si>
  <si>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</si>
  <si>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</si>
  <si>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</si>
  <si>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</si>
  <si>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</si>
  <si>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</si>
  <si>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</si>
  <si>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</si>
  <si>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</si>
  <si>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</si>
  <si>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</si>
  <si>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</si>
  <si>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</si>
  <si>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</si>
  <si>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</si>
  <si>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</si>
  <si>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</si>
  <si>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</si>
  <si>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</si>
  <si>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</si>
  <si>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</si>
  <si>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</si>
  <si>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</si>
  <si>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</si>
  <si>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</si>
  <si>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</si>
  <si>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</si>
  <si>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</si>
  <si>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</si>
  <si>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</si>
  <si>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</si>
  <si>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</si>
  <si>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</si>
  <si>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</si>
  <si>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</si>
  <si>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</si>
  <si>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</si>
  <si>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</si>
  <si>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</si>
  <si>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</si>
  <si>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</si>
  <si>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</si>
  <si>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</si>
  <si>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</si>
  <si>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</si>
  <si>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</si>
  <si>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</si>
  <si>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</si>
  <si>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</si>
  <si>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</si>
  <si>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</si>
  <si>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</si>
  <si>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</si>
  <si>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</si>
  <si>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</si>
  <si>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</si>
  <si>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</si>
  <si>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</si>
  <si>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</si>
  <si>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</si>
  <si>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</si>
  <si>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</si>
  <si>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</si>
  <si>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</si>
  <si>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</si>
  <si>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</si>
  <si>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</si>
  <si>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</si>
  <si>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</si>
  <si>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</si>
  <si>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</si>
  <si>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</si>
  <si>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</si>
  <si>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</si>
  <si>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</si>
  <si>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</si>
  <si>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</si>
  <si>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</si>
  <si>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</si>
  <si>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</si>
  <si>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</si>
  <si>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</si>
  <si>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</si>
  <si>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</si>
  <si>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</si>
  <si>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</si>
  <si>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</si>
  <si>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</si>
  <si>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</si>
  <si>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</si>
  <si>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</si>
  <si>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</si>
  <si>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</si>
  <si>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</si>
  <si>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</si>
  <si>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</si>
  <si>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</si>
  <si>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</si>
  <si>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</si>
  <si>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</si>
  <si>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</si>
  <si>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</si>
  <si>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</si>
  <si>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</si>
  <si>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</si>
  <si>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</si>
  <si>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</si>
  <si>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</si>
  <si>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</si>
  <si>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</si>
  <si>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</si>
  <si>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</si>
  <si>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</si>
  <si>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</si>
  <si>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</si>
  <si>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</si>
  <si>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</si>
  <si>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</si>
  <si>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</si>
  <si>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</si>
  <si>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</si>
  <si>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</si>
  <si>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</si>
  <si>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</si>
  <si>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</si>
  <si>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</si>
  <si>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</si>
  <si>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</si>
  <si>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</si>
  <si>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</si>
  <si>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</si>
  <si>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</si>
  <si>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</si>
  <si>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</si>
  <si>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</si>
  <si>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</si>
  <si>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</si>
  <si>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</si>
  <si>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</si>
  <si>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</si>
  <si>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</si>
  <si>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</si>
  <si>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</si>
  <si>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</si>
  <si>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</si>
  <si>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</si>
  <si>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</si>
  <si>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</si>
  <si>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</si>
  <si>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</si>
  <si>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</si>
  <si>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</si>
  <si>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</si>
  <si>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</si>
  <si>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</si>
  <si>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</si>
  <si>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</si>
  <si>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</si>
  <si>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</si>
  <si>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</si>
  <si>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</si>
  <si>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</si>
  <si>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</si>
  <si>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</si>
  <si>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</si>
  <si>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</si>
  <si>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</si>
  <si>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</si>
  <si>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</si>
  <si>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</si>
  <si>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</si>
  <si>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</si>
  <si>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</si>
  <si>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</si>
  <si>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</si>
  <si>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</si>
  <si>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</si>
  <si>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</si>
  <si>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</si>
  <si>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</si>
  <si>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</si>
  <si>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</si>
  <si>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</si>
  <si>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</si>
  <si>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</si>
  <si>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</si>
  <si>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</si>
  <si>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</si>
  <si>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</si>
  <si>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</si>
  <si>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</si>
  <si>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</si>
  <si>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</si>
  <si>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</si>
  <si>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</si>
  <si>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</si>
  <si>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</si>
  <si>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</si>
  <si>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</si>
  <si>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</si>
  <si>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</si>
  <si>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</si>
  <si>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</si>
  <si>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</si>
  <si>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</si>
  <si>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</si>
  <si>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</si>
  <si>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</si>
  <si>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</si>
  <si>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</si>
  <si>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</si>
  <si>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</si>
  <si>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</si>
  <si>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</si>
  <si>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</si>
  <si>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</si>
  <si>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</si>
  <si>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</si>
  <si>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</si>
  <si>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</si>
  <si>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</si>
  <si>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</si>
  <si>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</si>
  <si>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</si>
  <si>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</si>
  <si>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</si>
  <si>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</si>
  <si>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</si>
  <si>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</si>
  <si>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</si>
  <si>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</si>
  <si>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</si>
  <si>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</si>
  <si>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</si>
  <si>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</si>
  <si>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</si>
  <si>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</si>
  <si>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</si>
  <si>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</si>
  <si>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</si>
  <si>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</si>
  <si>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</si>
  <si>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</si>
  <si>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</si>
  <si>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</si>
  <si>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</si>
  <si>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</si>
  <si>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</si>
  <si>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</si>
  <si>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</si>
  <si>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</si>
  <si>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</si>
  <si>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</si>
  <si>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</si>
  <si>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</si>
  <si>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</si>
  <si>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</si>
  <si>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</si>
  <si>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</si>
  <si>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</si>
  <si>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</si>
  <si>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</si>
  <si>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</si>
  <si>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</si>
  <si>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</si>
  <si>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</si>
  <si>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</si>
  <si>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</si>
  <si>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</si>
  <si>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</si>
  <si>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</si>
  <si>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</si>
  <si>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</si>
  <si>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</si>
  <si>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</si>
  <si>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</si>
  <si>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</si>
  <si>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</si>
  <si>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</si>
  <si>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</si>
  <si>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</si>
  <si>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</si>
  <si>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</si>
  <si>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</si>
  <si>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</si>
  <si>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</si>
  <si>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</si>
  <si>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</si>
  <si>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</si>
  <si>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</si>
  <si>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</si>
  <si>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</si>
  <si>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</si>
  <si>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</si>
  <si>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</si>
  <si>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</si>
  <si>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</si>
  <si>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</si>
  <si>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</si>
  <si>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</si>
  <si>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</si>
  <si>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</si>
  <si>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</si>
  <si>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</si>
  <si>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</si>
  <si>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</si>
  <si>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</si>
  <si>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</si>
  <si>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</si>
  <si>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</si>
  <si>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</si>
  <si>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</si>
  <si>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</si>
  <si>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</si>
  <si>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</si>
  <si>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</si>
  <si>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</si>
  <si>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</si>
  <si>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</si>
  <si>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</si>
  <si>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</si>
  <si>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</si>
  <si>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</si>
  <si>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</si>
  <si>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</si>
  <si>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</si>
  <si>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</si>
  <si>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</si>
  <si>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</si>
  <si>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</si>
  <si>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</si>
  <si>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</si>
  <si>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</si>
  <si>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</si>
  <si>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</si>
  <si>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</si>
  <si>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</si>
  <si>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</si>
  <si>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</si>
  <si>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</si>
  <si>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</si>
  <si>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</si>
  <si>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</si>
  <si>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</si>
  <si>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</si>
  <si>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</si>
  <si>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</si>
  <si>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</si>
  <si>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</si>
  <si>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</si>
  <si>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</si>
  <si>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</si>
  <si>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</si>
  <si>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</si>
  <si>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</si>
  <si>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</si>
  <si>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</si>
  <si>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</si>
  <si>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</si>
  <si>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</si>
  <si>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</si>
  <si>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</si>
  <si>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</si>
  <si>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</si>
  <si>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</si>
  <si>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</si>
  <si>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</si>
  <si>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</si>
  <si>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</si>
  <si>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</si>
  <si>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</si>
  <si>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</si>
  <si>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</si>
  <si>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</si>
  <si>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</si>
  <si>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</si>
  <si>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</si>
  <si>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</si>
  <si>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</si>
  <si>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</si>
  <si>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</si>
  <si>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</si>
  <si>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</si>
  <si>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</si>
  <si>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</si>
  <si>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</si>
  <si>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</si>
  <si>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</si>
  <si>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</si>
  <si>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</si>
  <si>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</si>
  <si>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</si>
  <si>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</si>
  <si>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</si>
  <si>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</si>
  <si>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</si>
  <si>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</si>
  <si>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</si>
  <si>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</si>
  <si>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</si>
  <si>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</si>
  <si>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</si>
  <si>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</si>
  <si>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</si>
  <si>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</si>
  <si>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</si>
  <si>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</si>
  <si>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</si>
  <si>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</si>
  <si>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</si>
  <si>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</si>
  <si>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</si>
  <si>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</si>
  <si>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</si>
  <si>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</si>
  <si>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</si>
  <si>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</si>
  <si>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</si>
  <si>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</si>
  <si>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</si>
  <si>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</si>
  <si>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</si>
  <si>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</si>
  <si>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</si>
  <si>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</si>
  <si>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</si>
  <si>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</si>
  <si>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</si>
  <si>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</si>
  <si>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</si>
  <si>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</si>
  <si>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</si>
  <si>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</si>
  <si>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</si>
  <si>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</si>
  <si>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</si>
  <si>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</si>
  <si>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</si>
  <si>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</si>
  <si>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</si>
  <si>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</si>
  <si>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</si>
  <si>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</si>
  <si>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</si>
  <si>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</si>
  <si>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</si>
  <si>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</si>
  <si>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</si>
  <si>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</si>
  <si>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</si>
  <si>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</si>
  <si>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</si>
  <si>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</si>
  <si>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</si>
  <si>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</si>
  <si>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</si>
  <si>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</si>
  <si>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</si>
  <si>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</si>
  <si>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</si>
  <si>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</si>
  <si>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</si>
  <si>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</si>
  <si>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</si>
  <si>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</si>
  <si>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</si>
  <si>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</si>
  <si>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</si>
  <si>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</si>
  <si>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</si>
  <si>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</si>
  <si>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</si>
  <si>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</si>
  <si>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</si>
  <si>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</si>
  <si>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</si>
  <si>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</si>
  <si>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</si>
  <si>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</si>
  <si>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</si>
  <si>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</si>
  <si>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</si>
  <si>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</si>
  <si>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</si>
  <si>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</si>
  <si>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</si>
  <si>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</si>
  <si>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</si>
  <si>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</si>
  <si>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</si>
  <si>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</si>
  <si>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</si>
  <si>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</si>
  <si>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</si>
  <si>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</si>
  <si>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</si>
  <si>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</si>
  <si>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</si>
  <si>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</si>
  <si>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</si>
  <si>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</si>
  <si>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</si>
  <si>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</si>
  <si>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</si>
  <si>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</si>
  <si>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</si>
  <si>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</si>
  <si>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</si>
  <si>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</si>
  <si>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</si>
  <si>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</si>
  <si>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</si>
  <si>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</si>
  <si>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</si>
  <si>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</si>
  <si>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</si>
  <si>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</si>
  <si>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</si>
  <si>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</si>
  <si>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</si>
  <si>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</si>
  <si>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</si>
  <si>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</si>
  <si>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</si>
  <si>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</si>
  <si>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</si>
  <si>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</si>
  <si>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</si>
  <si>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</si>
  <si>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</si>
  <si>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</si>
  <si>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</si>
  <si>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</si>
  <si>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</si>
  <si>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</si>
  <si>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</si>
  <si>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</si>
  <si>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</si>
  <si>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</si>
  <si>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</si>
  <si>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</si>
  <si>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</si>
  <si>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</si>
  <si>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</si>
  <si>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</si>
  <si>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</si>
  <si>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</si>
  <si>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</si>
  <si>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</si>
  <si>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</si>
  <si>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</si>
  <si>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</si>
  <si>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</si>
  <si>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</si>
  <si>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</si>
  <si>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</si>
  <si>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</si>
  <si>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</si>
  <si>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</si>
  <si>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</si>
  <si>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</si>
  <si>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</si>
  <si>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</si>
  <si>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</si>
  <si>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</si>
  <si>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</si>
  <si>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</si>
  <si>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</si>
  <si>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</si>
  <si>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</si>
  <si>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</si>
  <si>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</si>
  <si>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</si>
  <si>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</si>
  <si>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</si>
  <si>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</si>
  <si>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</si>
  <si>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</si>
  <si>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</si>
  <si>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</si>
  <si>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</si>
  <si>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</si>
  <si>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</si>
  <si>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</si>
  <si>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</si>
  <si>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</si>
  <si>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</si>
  <si>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</si>
  <si>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</si>
  <si>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</si>
  <si>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</si>
  <si>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</si>
  <si>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</si>
  <si>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</si>
  <si>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</si>
  <si>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</si>
  <si>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</si>
  <si>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</si>
  <si>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</si>
  <si>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</si>
  <si>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</si>
  <si>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</si>
  <si>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</si>
  <si>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</si>
  <si>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</si>
  <si>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</si>
  <si>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</si>
  <si>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</si>
  <si>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</si>
  <si>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</si>
  <si>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</si>
  <si>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</si>
  <si>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</si>
  <si>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</si>
  <si>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</si>
  <si>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</si>
  <si>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</si>
  <si>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</si>
  <si>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</si>
  <si>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</si>
  <si>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</si>
  <si>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</si>
  <si>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</si>
  <si>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</si>
  <si>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</si>
  <si>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</si>
  <si>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</si>
  <si>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</si>
  <si>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</si>
  <si>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</si>
  <si>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</si>
  <si>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</si>
  <si>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</si>
  <si>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</si>
  <si>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</si>
  <si>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</si>
  <si>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</si>
  <si>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</si>
  <si>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</si>
  <si>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</si>
  <si>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</si>
  <si>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</si>
  <si>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</si>
  <si>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36297945940</t>
  </si>
  <si>
    <t>02719240</t>
  </si>
  <si>
    <t>080750820</t>
  </si>
  <si>
    <t>VODOOPSKRBA d.o.o. za javnu vodoopskrbu i odvodnju</t>
  </si>
  <si>
    <t>P. Berislavića 39</t>
  </si>
  <si>
    <t>komunalac@sk.t-com.hr</t>
  </si>
  <si>
    <t>044855422</t>
  </si>
  <si>
    <t>SABINE BLAŽEVIĆ</t>
  </si>
  <si>
    <t>MATEA MIKULČIĆ</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</si>
</sst>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3" applyFont="1" applyBorder="1" applyAlignment="1" applyProtection="1">
      <alignment vertical="center"/>
      <protection hidden="1"/>
    </xf>
    <xf numFmtId="0" fontId="56" fillId="0" borderId="49" xfId="53" applyFont="1" applyBorder="1" applyAlignment="1" applyProtection="1">
      <alignment vertical="center"/>
      <protection/>
    </xf>
    <xf numFmtId="0" fontId="56"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53"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53"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1" fillId="0" borderId="23" xfId="0" applyFont="1" applyFill="1" applyBorder="1" applyAlignment="1" applyProtection="1">
      <alignment horizontal="left" vertical="center" wrapText="1"/>
      <protection hidden="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2017</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1598674.8399999999</v>
      </c>
      <c r="I3" s="31">
        <f>ABS(ROUND(J3,0)-J3)+ABS(ROUND(K3,0)-K3)</f>
        <v>0</v>
      </c>
      <c r="J3" s="31">
        <f>Bilanca!I10</f>
        <v>27127482</v>
      </c>
      <c r="K3" s="31">
        <f>Bilanca!J10</f>
        <v>26403130</v>
      </c>
    </row>
    <row r="4" spans="1:11" ht="12.75">
      <c r="A4" s="4" t="s">
        <v>1088</v>
      </c>
      <c r="B4" s="29" t="s">
        <v>1888</v>
      </c>
      <c r="D4" s="4" t="s">
        <v>1521</v>
      </c>
      <c r="E4" s="4">
        <v>1</v>
      </c>
      <c r="F4" s="4">
        <f>Bilanca!G11</f>
        <v>3</v>
      </c>
      <c r="G4" s="4">
        <f>IF(Bilanca!H11=0,"",Bilanca!H11)</f>
      </c>
      <c r="H4" s="30">
        <f>J4/100*F4+2*K4/100*F4</f>
        <v>225</v>
      </c>
      <c r="I4" s="31">
        <f>ABS(ROUND(J4,0)-J4)+ABS(ROUND(K4,0)-K4)</f>
        <v>0</v>
      </c>
      <c r="J4" s="31">
        <f>Bilanca!I11</f>
        <v>3500</v>
      </c>
      <c r="K4" s="31">
        <f>Bilanca!J11</f>
        <v>2000</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02719240</v>
      </c>
      <c r="D6" s="4" t="s">
        <v>1521</v>
      </c>
      <c r="E6" s="4">
        <v>1</v>
      </c>
      <c r="F6" s="4">
        <f>Bilanca!G13</f>
        <v>5</v>
      </c>
      <c r="G6" s="4">
        <f>IF(Bilanca!H13=0,"",Bilanca!H13)</f>
      </c>
      <c r="H6" s="30">
        <f aca="true" t="shared" si="0" ref="H6:H45">J6/100*F6+2*K6/100*F6</f>
        <v>375</v>
      </c>
      <c r="I6" s="31">
        <f aca="true" t="shared" si="1" ref="I6:I45">ABS(ROUND(J6,0)-J6)+ABS(ROUND(K6,0)-K6)</f>
        <v>0</v>
      </c>
      <c r="J6" s="31">
        <f>Bilanca!I13</f>
        <v>3500</v>
      </c>
      <c r="K6" s="31">
        <f>Bilanca!J13</f>
        <v>2000</v>
      </c>
    </row>
    <row r="7" spans="1:11" ht="12.75">
      <c r="A7" s="4" t="s">
        <v>2353</v>
      </c>
      <c r="B7" s="29" t="str">
        <f>RefStr!M27</f>
        <v>080750820</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36297945940</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VODOOPSKRBA d.o.o. za javnu vodoopskrbu i odvodnju</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44450</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Hrvatska Dubica</v>
      </c>
      <c r="D11" s="4" t="s">
        <v>1521</v>
      </c>
      <c r="E11" s="4">
        <v>1</v>
      </c>
      <c r="F11" s="4">
        <f>Bilanca!G18</f>
        <v>10</v>
      </c>
      <c r="G11" s="4">
        <f>IF(Bilanca!H18=0,"",Bilanca!H18)</f>
      </c>
      <c r="H11" s="30">
        <f t="shared" si="0"/>
        <v>7992624.2</v>
      </c>
      <c r="I11" s="31">
        <f t="shared" si="1"/>
        <v>0</v>
      </c>
      <c r="J11" s="31">
        <f>Bilanca!I18</f>
        <v>27123982</v>
      </c>
      <c r="K11" s="31">
        <f>Bilanca!J18</f>
        <v>26401130</v>
      </c>
    </row>
    <row r="12" spans="1:11" ht="12.75">
      <c r="A12" s="4" t="s">
        <v>2357</v>
      </c>
      <c r="B12" s="29" t="str">
        <f>TRIM(RefStr!C33)</f>
        <v>P. Berislavića 39</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komunalac@sk.t-com.hr</v>
      </c>
      <c r="D13" s="4" t="s">
        <v>1521</v>
      </c>
      <c r="E13" s="4">
        <v>1</v>
      </c>
      <c r="F13" s="4">
        <f>Bilanca!G20</f>
        <v>12</v>
      </c>
      <c r="G13" s="4">
        <f>IF(Bilanca!H20=0,"",Bilanca!H20)</f>
      </c>
      <c r="H13" s="30">
        <f t="shared" si="0"/>
        <v>6639776.16</v>
      </c>
      <c r="I13" s="31">
        <f t="shared" si="1"/>
        <v>0</v>
      </c>
      <c r="J13" s="31">
        <f>Bilanca!I20</f>
        <v>19146612</v>
      </c>
      <c r="K13" s="31">
        <f>Bilanca!J20</f>
        <v>18092428</v>
      </c>
    </row>
    <row r="14" spans="1:11" ht="12.75">
      <c r="A14" s="4" t="s">
        <v>1194</v>
      </c>
      <c r="B14" s="29">
        <f>TRIM(RefStr!C37)</f>
      </c>
      <c r="D14" s="4" t="s">
        <v>1521</v>
      </c>
      <c r="E14" s="4">
        <v>1</v>
      </c>
      <c r="F14" s="4">
        <f>Bilanca!G21</f>
        <v>13</v>
      </c>
      <c r="G14" s="4">
        <f>IF(Bilanca!H21=0,"",Bilanca!H21)</f>
      </c>
      <c r="H14" s="30">
        <f t="shared" si="0"/>
        <v>2012.0099999999998</v>
      </c>
      <c r="I14" s="31">
        <f t="shared" si="1"/>
        <v>0</v>
      </c>
      <c r="J14" s="31">
        <f>Bilanca!I21</f>
        <v>7513</v>
      </c>
      <c r="K14" s="31">
        <f>Bilanca!J21</f>
        <v>3982</v>
      </c>
    </row>
    <row r="15" spans="1:11" ht="12.75">
      <c r="A15" s="4" t="s">
        <v>2360</v>
      </c>
      <c r="B15" s="29" t="str">
        <f>TEXT(RefStr!J39,"00")</f>
        <v>03</v>
      </c>
      <c r="D15" s="4" t="s">
        <v>1521</v>
      </c>
      <c r="E15" s="4">
        <v>1</v>
      </c>
      <c r="F15" s="4">
        <f>Bilanca!G22</f>
        <v>14</v>
      </c>
      <c r="G15" s="4">
        <f>IF(Bilanca!H22=0,"",Bilanca!H22)</f>
      </c>
      <c r="H15" s="30">
        <f t="shared" si="0"/>
        <v>0</v>
      </c>
      <c r="I15" s="31">
        <f t="shared" si="1"/>
        <v>0</v>
      </c>
      <c r="J15" s="31">
        <f>Bilanca!I22</f>
        <v>0</v>
      </c>
      <c r="K15" s="31">
        <f>Bilanca!J22</f>
        <v>0</v>
      </c>
    </row>
    <row r="16" spans="1:11" ht="12.75">
      <c r="A16" s="4" t="s">
        <v>2359</v>
      </c>
      <c r="B16" s="29" t="str">
        <f>TEXT(RefStr!C39,"000")</f>
        <v>149</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3600</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4178480.49</v>
      </c>
      <c r="I18" s="31">
        <f t="shared" si="1"/>
        <v>0</v>
      </c>
      <c r="J18" s="31">
        <f>Bilanca!I25</f>
        <v>7969857</v>
      </c>
      <c r="K18" s="31">
        <f>Bilanca!J25</f>
        <v>8304720</v>
      </c>
    </row>
    <row r="19" spans="1:11" ht="12.75">
      <c r="A19" s="4" t="s">
        <v>1196</v>
      </c>
      <c r="B19" s="29" t="str">
        <f>IF(RefStr!I21&lt;&gt;"",RefStr!I21,"")</f>
        <v>NE</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3</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4</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3</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3</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3</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3</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460145.32</v>
      </c>
      <c r="I38" s="31">
        <f t="shared" si="1"/>
        <v>0</v>
      </c>
      <c r="J38" s="31">
        <f>Bilanca!I45</f>
        <v>686956</v>
      </c>
      <c r="K38" s="31">
        <f>Bilanca!J45</f>
        <v>278340</v>
      </c>
    </row>
    <row r="39" spans="1:11" ht="12.75">
      <c r="A39" s="4" t="s">
        <v>1216</v>
      </c>
      <c r="B39" s="29" t="str">
        <f>RefStr!C68</f>
        <v>SABINE BLAŽEVIĆ</v>
      </c>
      <c r="D39" s="4" t="s">
        <v>1521</v>
      </c>
      <c r="E39" s="4">
        <v>1</v>
      </c>
      <c r="F39" s="4">
        <f>Bilanca!G46</f>
        <v>38</v>
      </c>
      <c r="G39" s="4">
        <f>IF(Bilanca!H46=0,"",Bilanca!H46)</f>
      </c>
      <c r="H39" s="30">
        <f t="shared" si="0"/>
        <v>34564.03999999999</v>
      </c>
      <c r="I39" s="31">
        <f t="shared" si="1"/>
        <v>0</v>
      </c>
      <c r="J39" s="31">
        <f>Bilanca!I46</f>
        <v>33040</v>
      </c>
      <c r="K39" s="31">
        <f>Bilanca!J46</f>
        <v>28959</v>
      </c>
    </row>
    <row r="40" spans="1:11" ht="12.75">
      <c r="A40" s="4" t="s">
        <v>1217</v>
      </c>
      <c r="B40" s="29" t="str">
        <f>TRIM(RefStr!C70)</f>
        <v>044855422</v>
      </c>
      <c r="D40" s="4" t="s">
        <v>1521</v>
      </c>
      <c r="E40" s="4">
        <v>1</v>
      </c>
      <c r="F40" s="4">
        <f>Bilanca!G47</f>
        <v>39</v>
      </c>
      <c r="G40" s="4">
        <f>IF(Bilanca!H47=0,"",Bilanca!H47)</f>
      </c>
      <c r="H40" s="30">
        <f t="shared" si="0"/>
        <v>35473.619999999995</v>
      </c>
      <c r="I40" s="31">
        <f t="shared" si="1"/>
        <v>0</v>
      </c>
      <c r="J40" s="31">
        <f>Bilanca!I47</f>
        <v>33040</v>
      </c>
      <c r="K40" s="31">
        <f>Bilanca!J47</f>
        <v>28959</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komunalac@sk.t-com.hr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MATEA MIKULČIĆ</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20170101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20171231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405716.32</v>
      </c>
      <c r="I47" s="31">
        <f t="shared" si="3"/>
        <v>0</v>
      </c>
      <c r="J47" s="31">
        <f>Bilanca!I54</f>
        <v>592300</v>
      </c>
      <c r="K47" s="31">
        <f>Bilanca!J54</f>
        <v>144846</v>
      </c>
    </row>
    <row r="48" spans="1:11" ht="12.75">
      <c r="A48" s="4" t="s">
        <v>1918</v>
      </c>
      <c r="B48" s="29" t="str">
        <f>RefStr!I54</f>
        <v>DA</v>
      </c>
      <c r="D48" s="4" t="s">
        <v>1521</v>
      </c>
      <c r="E48" s="4">
        <v>1</v>
      </c>
      <c r="F48" s="4">
        <f>Bilanca!G55</f>
        <v>47</v>
      </c>
      <c r="G48" s="4">
        <f>IF(Bilanca!H55=0,"",Bilanca!H55)</f>
      </c>
      <c r="H48" s="30">
        <f t="shared" si="2"/>
        <v>79724.22</v>
      </c>
      <c r="I48" s="31">
        <f t="shared" si="3"/>
        <v>0</v>
      </c>
      <c r="J48" s="31">
        <f>Bilanca!I55</f>
        <v>169626</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158922.19</v>
      </c>
      <c r="I50" s="31">
        <f t="shared" si="3"/>
        <v>0</v>
      </c>
      <c r="J50" s="31">
        <f>Bilanca!I57</f>
        <v>97251</v>
      </c>
      <c r="K50" s="31">
        <f>Bilanca!J57</f>
        <v>113540</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197897.85</v>
      </c>
      <c r="I52" s="31">
        <f t="shared" si="3"/>
        <v>0</v>
      </c>
      <c r="J52" s="31">
        <f>Bilanca!I59</f>
        <v>325423</v>
      </c>
      <c r="K52" s="31">
        <f>Bilanca!J59</f>
        <v>31306</v>
      </c>
    </row>
    <row r="53" spans="1:11" ht="12.75">
      <c r="A53" s="4" t="s">
        <v>532</v>
      </c>
      <c r="B53" s="29" t="str">
        <f>RefStr!I56</f>
        <v>DA</v>
      </c>
      <c r="D53" s="4" t="s">
        <v>1521</v>
      </c>
      <c r="E53" s="4">
        <v>1</v>
      </c>
      <c r="F53" s="4">
        <f>Bilanca!G60</f>
        <v>52</v>
      </c>
      <c r="G53" s="4">
        <f>IF(Bilanca!H60=0,"",Bilanca!H60)</f>
      </c>
      <c r="H53" s="30">
        <f t="shared" si="2"/>
        <v>0</v>
      </c>
      <c r="I53" s="31">
        <f t="shared" si="3"/>
        <v>0</v>
      </c>
      <c r="J53" s="31">
        <f>Bilanca!I60</f>
        <v>0</v>
      </c>
      <c r="K53" s="31">
        <f>Bilanca!J60</f>
        <v>0</v>
      </c>
    </row>
    <row r="54" spans="1:11" ht="12.75">
      <c r="A54" s="4" t="s">
        <v>533</v>
      </c>
      <c r="B54" s="29" t="str">
        <f>RefStr!I62</f>
        <v>NE</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688940997.5299999</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170532.17999999996</v>
      </c>
      <c r="I64" s="31">
        <f t="shared" si="3"/>
        <v>0</v>
      </c>
      <c r="J64" s="31">
        <f>Bilanca!I71</f>
        <v>61616</v>
      </c>
      <c r="K64" s="31">
        <f>Bilanca!J71</f>
        <v>104535</v>
      </c>
    </row>
    <row r="65" spans="1:11" ht="12.75">
      <c r="A65" s="4" t="s">
        <v>687</v>
      </c>
      <c r="B65" s="29" t="str">
        <f>RefStr!N19</f>
        <v>HSFI</v>
      </c>
      <c r="D65" s="4" t="s">
        <v>1521</v>
      </c>
      <c r="E65" s="4">
        <v>1</v>
      </c>
      <c r="F65" s="4">
        <f>Bilanca!G72</f>
        <v>64</v>
      </c>
      <c r="G65" s="4">
        <f>IF(Bilanca!H72=0,"",Bilanca!H72)</f>
      </c>
      <c r="H65" s="30">
        <f t="shared" si="2"/>
        <v>2360.3199999999997</v>
      </c>
      <c r="I65" s="31">
        <f t="shared" si="3"/>
        <v>0</v>
      </c>
      <c r="J65" s="31">
        <f>Bilanca!I72</f>
        <v>1316</v>
      </c>
      <c r="K65" s="31">
        <f>Bilanca!J72</f>
        <v>1186</v>
      </c>
    </row>
    <row r="66" spans="1:11" ht="12.75">
      <c r="A66" s="4" t="s">
        <v>688</v>
      </c>
      <c r="B66" s="29">
        <f>RefStr!C23</f>
        <v>1</v>
      </c>
      <c r="D66" s="4" t="s">
        <v>1521</v>
      </c>
      <c r="E66" s="4">
        <v>1</v>
      </c>
      <c r="F66" s="4">
        <f>Bilanca!G73</f>
        <v>65</v>
      </c>
      <c r="G66" s="4">
        <f>IF(Bilanca!H73=0,"",Bilanca!H73)</f>
      </c>
      <c r="H66" s="30">
        <f t="shared" si="2"/>
        <v>52767692.89999999</v>
      </c>
      <c r="I66" s="31">
        <f t="shared" si="3"/>
        <v>0</v>
      </c>
      <c r="J66" s="31">
        <f>Bilanca!I73</f>
        <v>27815754</v>
      </c>
      <c r="K66" s="31">
        <f>Bilanca!J73</f>
        <v>26682656</v>
      </c>
    </row>
    <row r="67" spans="1:11" ht="12.75">
      <c r="A67" s="4" t="s">
        <v>689</v>
      </c>
      <c r="B67" s="29" t="str">
        <f>RefStr!L35</f>
        <v>044855422</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455280.4099999999</v>
      </c>
      <c r="I68" s="31">
        <f t="shared" si="3"/>
        <v>0</v>
      </c>
      <c r="J68" s="31">
        <f>Bilanca!I76</f>
        <v>210549</v>
      </c>
      <c r="K68" s="31">
        <f>Bilanca!J76</f>
        <v>234487</v>
      </c>
    </row>
    <row r="69" spans="1:11" ht="12.75">
      <c r="A69" s="4" t="s">
        <v>691</v>
      </c>
      <c r="B69" s="29">
        <f>RefStr!M46</f>
        <v>0</v>
      </c>
      <c r="D69" s="4" t="s">
        <v>1521</v>
      </c>
      <c r="E69" s="4">
        <v>1</v>
      </c>
      <c r="F69" s="4">
        <f>Bilanca!G77</f>
        <v>68</v>
      </c>
      <c r="G69" s="4">
        <f>IF(Bilanca!H77=0,"",Bilanca!H77)</f>
      </c>
      <c r="H69" s="30">
        <f t="shared" si="2"/>
        <v>40800</v>
      </c>
      <c r="I69" s="31">
        <f t="shared" si="3"/>
        <v>0</v>
      </c>
      <c r="J69" s="31">
        <f>Bilanca!I77</f>
        <v>20000</v>
      </c>
      <c r="K69" s="31">
        <f>Bilanca!J77</f>
        <v>20000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475875.81000000006</v>
      </c>
      <c r="I82" s="31">
        <f t="shared" si="3"/>
        <v>0</v>
      </c>
      <c r="J82" s="31">
        <f>Bilanca!I90</f>
        <v>206403</v>
      </c>
      <c r="K82" s="31">
        <f>Bilanca!J90</f>
        <v>190549</v>
      </c>
    </row>
    <row r="83" spans="4:11" ht="12.75">
      <c r="D83" s="4" t="s">
        <v>1521</v>
      </c>
      <c r="E83" s="4">
        <v>1</v>
      </c>
      <c r="F83" s="4">
        <f>Bilanca!G91</f>
        <v>82</v>
      </c>
      <c r="G83" s="4">
        <f>IF(Bilanca!H91=0,"",Bilanca!H91)</f>
      </c>
      <c r="H83" s="30">
        <f t="shared" si="2"/>
        <v>481750.82</v>
      </c>
      <c r="I83" s="31">
        <f t="shared" si="3"/>
        <v>0</v>
      </c>
      <c r="J83" s="31">
        <f>Bilanca!I91</f>
        <v>206403</v>
      </c>
      <c r="K83" s="31">
        <f>Bilanca!J91</f>
        <v>190549</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26898.479999999996</v>
      </c>
      <c r="I85" s="31">
        <f>ABS(ROUND(J85,0)-J85)+ABS(ROUND(K85,0)-K85)</f>
        <v>0</v>
      </c>
      <c r="J85" s="31">
        <f>Bilanca!I93</f>
        <v>-15854</v>
      </c>
      <c r="K85" s="31">
        <f>Bilanca!J93</f>
        <v>23938</v>
      </c>
    </row>
    <row r="86" spans="4:11" ht="12.75">
      <c r="D86" s="4" t="s">
        <v>1521</v>
      </c>
      <c r="E86" s="4">
        <v>1</v>
      </c>
      <c r="F86" s="4">
        <f>Bilanca!G94</f>
        <v>85</v>
      </c>
      <c r="G86" s="4">
        <f>IF(Bilanca!H94=0,"",Bilanca!H94)</f>
      </c>
      <c r="H86" s="30">
        <f>J86/100*F86+2*K86/100*F86</f>
        <v>40694.6</v>
      </c>
      <c r="I86" s="31">
        <f>ABS(ROUND(J86,0)-J86)+ABS(ROUND(K86,0)-K86)</f>
        <v>0</v>
      </c>
      <c r="J86" s="31">
        <f>Bilanca!I94</f>
        <v>0</v>
      </c>
      <c r="K86" s="31">
        <f>Bilanca!J94</f>
        <v>23938</v>
      </c>
    </row>
    <row r="87" spans="4:11" ht="12.75">
      <c r="D87" s="4" t="s">
        <v>1521</v>
      </c>
      <c r="E87" s="4">
        <v>1</v>
      </c>
      <c r="F87" s="4">
        <f>Bilanca!G95</f>
        <v>86</v>
      </c>
      <c r="G87" s="4">
        <f>IF(Bilanca!H95=0,"",Bilanca!H95)</f>
      </c>
      <c r="H87" s="30">
        <f aca="true" t="shared" si="4" ref="H87:H127">J87/100*F87+2*K87/100*F87</f>
        <v>13634.439999999999</v>
      </c>
      <c r="I87" s="31">
        <f aca="true" t="shared" si="5" ref="I87:I127">ABS(ROUND(J87,0)-J87)+ABS(ROUND(K87,0)-K87)</f>
        <v>0</v>
      </c>
      <c r="J87" s="31">
        <f>Bilanca!I95</f>
        <v>15854</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0</v>
      </c>
      <c r="I96" s="31">
        <f t="shared" si="5"/>
        <v>0</v>
      </c>
      <c r="J96" s="31">
        <f>Bilanca!I104</f>
        <v>0</v>
      </c>
      <c r="K96" s="31">
        <f>Bilanca!J104</f>
        <v>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765885.67</v>
      </c>
      <c r="I108" s="31">
        <f t="shared" si="5"/>
        <v>0</v>
      </c>
      <c r="J108" s="31">
        <f>Bilanca!I116</f>
        <v>520417</v>
      </c>
      <c r="K108" s="31">
        <f>Bilanca!J116</f>
        <v>97682</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26448</v>
      </c>
      <c r="I115" s="31">
        <f t="shared" si="5"/>
        <v>0</v>
      </c>
      <c r="J115" s="31">
        <f>Bilanca!I123</f>
        <v>0</v>
      </c>
      <c r="K115" s="31">
        <f>Bilanca!J123</f>
        <v>11600</v>
      </c>
    </row>
    <row r="116" spans="4:11" ht="12.75">
      <c r="D116" s="4" t="s">
        <v>1521</v>
      </c>
      <c r="E116" s="4">
        <v>1</v>
      </c>
      <c r="F116" s="4">
        <f>Bilanca!G124</f>
        <v>115</v>
      </c>
      <c r="G116" s="4">
        <f>IF(Bilanca!H124=0,"",Bilanca!H124)</f>
      </c>
      <c r="H116" s="30">
        <f t="shared" si="4"/>
        <v>651208.2</v>
      </c>
      <c r="I116" s="31">
        <f t="shared" si="5"/>
        <v>0</v>
      </c>
      <c r="J116" s="31">
        <f>Bilanca!I124</f>
        <v>483740</v>
      </c>
      <c r="K116" s="31">
        <f>Bilanca!J124</f>
        <v>41264</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45504.81</v>
      </c>
      <c r="I118" s="31">
        <f t="shared" si="5"/>
        <v>0</v>
      </c>
      <c r="J118" s="31">
        <f>Bilanca!I126</f>
        <v>11073</v>
      </c>
      <c r="K118" s="31">
        <f>Bilanca!J126</f>
        <v>13910</v>
      </c>
    </row>
    <row r="119" spans="4:11" ht="12.75">
      <c r="D119" s="4" t="s">
        <v>1521</v>
      </c>
      <c r="E119" s="4">
        <v>1</v>
      </c>
      <c r="F119" s="4">
        <f>Bilanca!G127</f>
        <v>118</v>
      </c>
      <c r="G119" s="4">
        <f>IF(Bilanca!H127=0,"",Bilanca!H127)</f>
      </c>
      <c r="H119" s="30">
        <f t="shared" si="4"/>
        <v>35669.03999999999</v>
      </c>
      <c r="I119" s="31">
        <f t="shared" si="5"/>
        <v>0</v>
      </c>
      <c r="J119" s="31">
        <f>Bilanca!I127</f>
        <v>8536</v>
      </c>
      <c r="K119" s="31">
        <f>Bilanca!J127</f>
        <v>10846</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69202.32</v>
      </c>
      <c r="I122" s="31">
        <f t="shared" si="5"/>
        <v>0</v>
      </c>
      <c r="J122" s="31">
        <f>Bilanca!I130</f>
        <v>17068</v>
      </c>
      <c r="K122" s="31">
        <f>Bilanca!J130</f>
        <v>20062</v>
      </c>
    </row>
    <row r="123" spans="4:11" ht="12.75">
      <c r="D123" s="4" t="s">
        <v>1521</v>
      </c>
      <c r="E123" s="4">
        <v>1</v>
      </c>
      <c r="F123" s="4">
        <f>Bilanca!G131</f>
        <v>122</v>
      </c>
      <c r="G123" s="4">
        <f>IF(Bilanca!H131=0,"",Bilanca!H131)</f>
      </c>
      <c r="H123" s="30">
        <f t="shared" si="4"/>
        <v>97338629.64</v>
      </c>
      <c r="I123" s="31">
        <f t="shared" si="5"/>
        <v>0</v>
      </c>
      <c r="J123" s="31">
        <f>Bilanca!I131</f>
        <v>27084788</v>
      </c>
      <c r="K123" s="31">
        <f>Bilanca!J131</f>
        <v>26350487</v>
      </c>
    </row>
    <row r="124" spans="4:11" ht="12.75">
      <c r="D124" s="4" t="s">
        <v>1521</v>
      </c>
      <c r="E124" s="4">
        <v>1</v>
      </c>
      <c r="F124" s="4">
        <f>Bilanca!G132</f>
        <v>123</v>
      </c>
      <c r="G124" s="4">
        <f>IF(Bilanca!H132=0,"",Bilanca!H132)</f>
      </c>
      <c r="H124" s="30">
        <f t="shared" si="4"/>
        <v>99852711.17999999</v>
      </c>
      <c r="I124" s="31">
        <f t="shared" si="5"/>
        <v>0</v>
      </c>
      <c r="J124" s="31">
        <f>Bilanca!I132</f>
        <v>27815754</v>
      </c>
      <c r="K124" s="31">
        <f>Bilanca!J132</f>
        <v>26682656</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5662135</v>
      </c>
      <c r="I126" s="4">
        <f t="shared" si="5"/>
        <v>0</v>
      </c>
      <c r="J126" s="31">
        <f>RDG!I8</f>
        <v>1452430</v>
      </c>
      <c r="K126" s="31">
        <f>RDG!J8</f>
        <v>1538639</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1705899.5599999998</v>
      </c>
      <c r="I128" s="4">
        <f aca="true" t="shared" si="7" ref="I128:I190">ABS(ROUND(J128,0)-J128)+ABS(ROUND(K128,0)-K128)</f>
        <v>0</v>
      </c>
      <c r="J128" s="31">
        <f>RDG!I10</f>
        <v>390270</v>
      </c>
      <c r="K128" s="31">
        <f>RDG!J10</f>
        <v>476479</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4142424</v>
      </c>
      <c r="I131" s="4">
        <f t="shared" si="7"/>
        <v>0</v>
      </c>
      <c r="J131" s="31">
        <f>RDG!I13</f>
        <v>1062160</v>
      </c>
      <c r="K131" s="31">
        <f>RDG!J13</f>
        <v>1062160</v>
      </c>
    </row>
    <row r="132" spans="4:11" ht="12.75">
      <c r="D132" s="4" t="s">
        <v>541</v>
      </c>
      <c r="E132" s="4">
        <v>2</v>
      </c>
      <c r="F132" s="4">
        <f>RDG!G14</f>
        <v>131</v>
      </c>
      <c r="G132" s="4">
        <f>IF(RDG!H14=0,"",RDG!H14)</f>
      </c>
      <c r="H132" s="30">
        <f t="shared" si="6"/>
        <v>5883419.6</v>
      </c>
      <c r="I132" s="4">
        <f t="shared" si="7"/>
        <v>0</v>
      </c>
      <c r="J132" s="31">
        <f>RDG!I14</f>
        <v>1460684</v>
      </c>
      <c r="K132" s="31">
        <f>RDG!J14</f>
        <v>1515238</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722836.38</v>
      </c>
      <c r="I134" s="4">
        <f t="shared" si="7"/>
        <v>0</v>
      </c>
      <c r="J134" s="31">
        <f>RDG!I16</f>
        <v>149698</v>
      </c>
      <c r="K134" s="31">
        <f>RDG!J16</f>
        <v>196894</v>
      </c>
    </row>
    <row r="135" spans="4:11" ht="12.75">
      <c r="D135" s="4" t="s">
        <v>541</v>
      </c>
      <c r="E135" s="4">
        <v>2</v>
      </c>
      <c r="F135" s="4">
        <f>RDG!G17</f>
        <v>134</v>
      </c>
      <c r="G135" s="4">
        <f>IF(RDG!H17=0,"",RDG!H17)</f>
      </c>
      <c r="H135" s="30">
        <f t="shared" si="6"/>
        <v>425156.54000000004</v>
      </c>
      <c r="I135" s="4">
        <f t="shared" si="7"/>
        <v>0</v>
      </c>
      <c r="J135" s="31">
        <f>RDG!I17</f>
        <v>80917</v>
      </c>
      <c r="K135" s="31">
        <f>RDG!J17</f>
        <v>118182</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307638.8</v>
      </c>
      <c r="I137" s="4">
        <f t="shared" si="7"/>
        <v>0</v>
      </c>
      <c r="J137" s="31">
        <f>RDG!I19</f>
        <v>68781</v>
      </c>
      <c r="K137" s="31">
        <f>RDG!J19</f>
        <v>78712</v>
      </c>
    </row>
    <row r="138" spans="4:11" ht="12.75">
      <c r="D138" s="4" t="s">
        <v>541</v>
      </c>
      <c r="E138" s="4">
        <v>2</v>
      </c>
      <c r="F138" s="4">
        <f>RDG!G20</f>
        <v>137</v>
      </c>
      <c r="G138" s="4">
        <f>IF(RDG!H20=0,"",RDG!H20)</f>
      </c>
      <c r="H138" s="30">
        <f t="shared" si="6"/>
        <v>880960.6900000001</v>
      </c>
      <c r="I138" s="4">
        <f t="shared" si="7"/>
        <v>0</v>
      </c>
      <c r="J138" s="31">
        <f>RDG!I20</f>
        <v>204631</v>
      </c>
      <c r="K138" s="31">
        <f>RDG!J20</f>
        <v>219203</v>
      </c>
    </row>
    <row r="139" spans="4:11" ht="12.75">
      <c r="D139" s="4" t="s">
        <v>541</v>
      </c>
      <c r="E139" s="4">
        <v>2</v>
      </c>
      <c r="F139" s="4">
        <f>RDG!G21</f>
        <v>138</v>
      </c>
      <c r="G139" s="4">
        <f>IF(RDG!H21=0,"",RDG!H21)</f>
      </c>
      <c r="H139" s="30">
        <f t="shared" si="6"/>
        <v>588967.44</v>
      </c>
      <c r="I139" s="4">
        <f t="shared" si="7"/>
        <v>0</v>
      </c>
      <c r="J139" s="31">
        <f>RDG!I21</f>
        <v>133960</v>
      </c>
      <c r="K139" s="31">
        <f>RDG!J21</f>
        <v>146414</v>
      </c>
    </row>
    <row r="140" spans="4:11" ht="12.75">
      <c r="D140" s="4" t="s">
        <v>541</v>
      </c>
      <c r="E140" s="4">
        <v>2</v>
      </c>
      <c r="F140" s="4">
        <f>RDG!G22</f>
        <v>139</v>
      </c>
      <c r="G140" s="4">
        <f>IF(RDG!H22=0,"",RDG!H22)</f>
      </c>
      <c r="H140" s="30">
        <f t="shared" si="6"/>
        <v>169410.41999999998</v>
      </c>
      <c r="I140" s="4">
        <f t="shared" si="7"/>
        <v>0</v>
      </c>
      <c r="J140" s="31">
        <f>RDG!I22</f>
        <v>40640</v>
      </c>
      <c r="K140" s="31">
        <f>RDG!J22</f>
        <v>40619</v>
      </c>
    </row>
    <row r="141" spans="4:11" ht="12.75">
      <c r="D141" s="4" t="s">
        <v>541</v>
      </c>
      <c r="E141" s="4">
        <v>2</v>
      </c>
      <c r="F141" s="4">
        <f>RDG!G23</f>
        <v>140</v>
      </c>
      <c r="G141" s="4">
        <f>IF(RDG!H23=0,"",RDG!H23)</f>
      </c>
      <c r="H141" s="30">
        <f t="shared" si="6"/>
        <v>132119.4</v>
      </c>
      <c r="I141" s="4">
        <f t="shared" si="7"/>
        <v>0</v>
      </c>
      <c r="J141" s="31">
        <f>RDG!I23</f>
        <v>30031</v>
      </c>
      <c r="K141" s="31">
        <f>RDG!J23</f>
        <v>32170</v>
      </c>
    </row>
    <row r="142" spans="4:11" ht="12.75">
      <c r="D142" s="4" t="s">
        <v>541</v>
      </c>
      <c r="E142" s="4">
        <v>2</v>
      </c>
      <c r="F142" s="4">
        <f>RDG!G24</f>
        <v>141</v>
      </c>
      <c r="G142" s="4">
        <f>IF(RDG!H24=0,"",RDG!H24)</f>
      </c>
      <c r="H142" s="30">
        <f t="shared" si="6"/>
        <v>4549215.540000001</v>
      </c>
      <c r="I142" s="4">
        <f t="shared" si="7"/>
        <v>0</v>
      </c>
      <c r="J142" s="31">
        <f>RDG!I24</f>
        <v>1080420</v>
      </c>
      <c r="K142" s="31">
        <f>RDG!J24</f>
        <v>1072987</v>
      </c>
    </row>
    <row r="143" spans="4:11" ht="12.75">
      <c r="D143" s="4" t="s">
        <v>541</v>
      </c>
      <c r="E143" s="4">
        <v>2</v>
      </c>
      <c r="F143" s="4">
        <f>RDG!G25</f>
        <v>142</v>
      </c>
      <c r="G143" s="4">
        <f>IF(RDG!H25=0,"",RDG!H25)</f>
      </c>
      <c r="H143" s="30">
        <f t="shared" si="6"/>
        <v>96836.9</v>
      </c>
      <c r="I143" s="4">
        <f t="shared" si="7"/>
        <v>0</v>
      </c>
      <c r="J143" s="31">
        <f>RDG!I25</f>
        <v>21333</v>
      </c>
      <c r="K143" s="31">
        <f>RDG!J25</f>
        <v>23431</v>
      </c>
    </row>
    <row r="144" spans="4:11" ht="12.75">
      <c r="D144" s="4" t="s">
        <v>541</v>
      </c>
      <c r="E144" s="4">
        <v>2</v>
      </c>
      <c r="F144" s="4">
        <f>RDG!G26</f>
        <v>143</v>
      </c>
      <c r="G144" s="4">
        <f>IF(RDG!H26=0,"",RDG!H26)</f>
      </c>
      <c r="H144" s="30">
        <f t="shared" si="6"/>
        <v>14368.64</v>
      </c>
      <c r="I144" s="4">
        <f t="shared" si="7"/>
        <v>0</v>
      </c>
      <c r="J144" s="31">
        <f>RDG!I26</f>
        <v>4602</v>
      </c>
      <c r="K144" s="31">
        <f>RDG!J26</f>
        <v>2723</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14569.6</v>
      </c>
      <c r="I146" s="4">
        <f t="shared" si="7"/>
        <v>0</v>
      </c>
      <c r="J146" s="31">
        <f>RDG!I28</f>
        <v>4602</v>
      </c>
      <c r="K146" s="31">
        <f>RDG!J28</f>
        <v>2723</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0</v>
      </c>
      <c r="I154" s="4">
        <f t="shared" si="7"/>
        <v>0</v>
      </c>
      <c r="J154" s="31">
        <f>RDG!I36</f>
        <v>0</v>
      </c>
      <c r="K154" s="31">
        <f>RDG!J36</f>
        <v>0</v>
      </c>
    </row>
    <row r="155" spans="4:11" ht="12.75">
      <c r="D155" s="4" t="s">
        <v>541</v>
      </c>
      <c r="E155" s="4">
        <v>2</v>
      </c>
      <c r="F155" s="4">
        <f>RDG!G37</f>
        <v>154</v>
      </c>
      <c r="G155" s="4">
        <f>IF(RDG!H37=0,"",RDG!H37)</f>
      </c>
      <c r="H155" s="30">
        <f t="shared" si="6"/>
        <v>15689.520000000002</v>
      </c>
      <c r="I155" s="4">
        <f t="shared" si="7"/>
        <v>0</v>
      </c>
      <c r="J155" s="31">
        <f>RDG!I37</f>
        <v>3334</v>
      </c>
      <c r="K155" s="31">
        <f>RDG!J37</f>
        <v>3427</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977.27</v>
      </c>
      <c r="I162" s="4">
        <f t="shared" si="7"/>
        <v>0</v>
      </c>
      <c r="J162" s="31">
        <f>RDG!I44</f>
        <v>461</v>
      </c>
      <c r="K162" s="31">
        <f>RDG!J44</f>
        <v>73</v>
      </c>
    </row>
    <row r="163" spans="4:11" ht="12.75">
      <c r="D163" s="4" t="s">
        <v>541</v>
      </c>
      <c r="E163" s="4">
        <v>2</v>
      </c>
      <c r="F163" s="4">
        <f>RDG!G45</f>
        <v>162</v>
      </c>
      <c r="G163" s="4">
        <f>IF(RDG!H45=0,"",RDG!H45)</f>
      </c>
      <c r="H163" s="30">
        <f t="shared" si="6"/>
        <v>3.24</v>
      </c>
      <c r="I163" s="4">
        <f t="shared" si="7"/>
        <v>0</v>
      </c>
      <c r="J163" s="31">
        <f>RDG!I45</f>
        <v>0</v>
      </c>
      <c r="K163" s="31">
        <f>RDG!J45</f>
        <v>1</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15709.560000000001</v>
      </c>
      <c r="I165" s="4">
        <f t="shared" si="7"/>
        <v>0</v>
      </c>
      <c r="J165" s="31">
        <f>RDG!I47</f>
        <v>2873</v>
      </c>
      <c r="K165" s="31">
        <f>RDG!J47</f>
        <v>3353</v>
      </c>
    </row>
    <row r="166" spans="4:11" ht="12.75">
      <c r="D166" s="4" t="s">
        <v>541</v>
      </c>
      <c r="E166" s="4">
        <v>2</v>
      </c>
      <c r="F166" s="4">
        <f>RDG!G48</f>
        <v>165</v>
      </c>
      <c r="G166" s="4">
        <f>IF(RDG!H48=0,"",RDG!H48)</f>
      </c>
      <c r="H166" s="30">
        <f t="shared" si="6"/>
        <v>18892.500000000004</v>
      </c>
      <c r="I166" s="4">
        <f t="shared" si="7"/>
        <v>0</v>
      </c>
      <c r="J166" s="31">
        <f>RDG!I48</f>
        <v>10934</v>
      </c>
      <c r="K166" s="31">
        <f>RDG!J48</f>
        <v>258</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5.04</v>
      </c>
      <c r="I169" s="4">
        <f t="shared" si="7"/>
        <v>0</v>
      </c>
      <c r="J169" s="31">
        <f>RDG!I51</f>
        <v>3</v>
      </c>
      <c r="K169" s="31">
        <f>RDG!J51</f>
        <v>0</v>
      </c>
    </row>
    <row r="170" spans="4:11" ht="12.75">
      <c r="D170" s="4" t="s">
        <v>541</v>
      </c>
      <c r="E170" s="4">
        <v>2</v>
      </c>
      <c r="F170" s="4">
        <f>RDG!G52</f>
        <v>169</v>
      </c>
      <c r="G170" s="4">
        <f>IF(RDG!H52=0,"",RDG!H52)</f>
      </c>
      <c r="H170" s="30">
        <f t="shared" si="6"/>
        <v>3.38</v>
      </c>
      <c r="I170" s="4">
        <f t="shared" si="7"/>
        <v>0</v>
      </c>
      <c r="J170" s="31">
        <f>RDG!I52</f>
        <v>0</v>
      </c>
      <c r="K170" s="31">
        <f>RDG!J52</f>
        <v>1</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19685.4</v>
      </c>
      <c r="I173" s="4">
        <f t="shared" si="7"/>
        <v>0</v>
      </c>
      <c r="J173" s="31">
        <f>RDG!I55</f>
        <v>10931</v>
      </c>
      <c r="K173" s="31">
        <f>RDG!J55</f>
        <v>257</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8035615.92</v>
      </c>
      <c r="I178" s="4">
        <f t="shared" si="7"/>
        <v>0</v>
      </c>
      <c r="J178" s="31">
        <f>RDG!I60</f>
        <v>1455764</v>
      </c>
      <c r="K178" s="31">
        <f>RDG!J60</f>
        <v>1542066</v>
      </c>
    </row>
    <row r="179" spans="4:11" ht="12.75">
      <c r="D179" s="4" t="s">
        <v>541</v>
      </c>
      <c r="E179" s="4">
        <v>2</v>
      </c>
      <c r="F179" s="4">
        <f>RDG!G61</f>
        <v>178</v>
      </c>
      <c r="G179" s="4">
        <f>IF(RDG!H61=0,"",RDG!H61)</f>
      </c>
      <c r="H179" s="30">
        <f t="shared" si="6"/>
        <v>8014645.8</v>
      </c>
      <c r="I179" s="4">
        <f t="shared" si="7"/>
        <v>0</v>
      </c>
      <c r="J179" s="31">
        <f>RDG!I61</f>
        <v>1471618</v>
      </c>
      <c r="K179" s="31">
        <f>RDG!J61</f>
        <v>1515496</v>
      </c>
    </row>
    <row r="180" spans="4:11" ht="12.75">
      <c r="D180" s="4" t="s">
        <v>541</v>
      </c>
      <c r="E180" s="4">
        <v>2</v>
      </c>
      <c r="F180" s="4">
        <f>RDG!G62</f>
        <v>179</v>
      </c>
      <c r="G180" s="4">
        <f>IF(RDG!H62=0,"",RDG!H62)</f>
      </c>
      <c r="H180" s="30">
        <f t="shared" si="6"/>
        <v>66741.93999999999</v>
      </c>
      <c r="I180" s="4">
        <f t="shared" si="7"/>
        <v>0</v>
      </c>
      <c r="J180" s="31">
        <f>RDG!I62</f>
        <v>-15854</v>
      </c>
      <c r="K180" s="31">
        <f>RDG!J62</f>
        <v>26570</v>
      </c>
    </row>
    <row r="181" spans="4:11" ht="12.75">
      <c r="D181" s="4" t="s">
        <v>541</v>
      </c>
      <c r="E181" s="4">
        <v>2</v>
      </c>
      <c r="F181" s="4">
        <f>RDG!G63</f>
        <v>180</v>
      </c>
      <c r="G181" s="4">
        <f>IF(RDG!H63=0,"",RDG!H63)</f>
      </c>
      <c r="H181" s="30">
        <f t="shared" si="6"/>
        <v>95652</v>
      </c>
      <c r="I181" s="4">
        <f t="shared" si="7"/>
        <v>0</v>
      </c>
      <c r="J181" s="31">
        <f>RDG!I63</f>
        <v>0</v>
      </c>
      <c r="K181" s="31">
        <f>RDG!J63</f>
        <v>26570</v>
      </c>
    </row>
    <row r="182" spans="4:11" ht="12.75">
      <c r="D182" s="4" t="s">
        <v>541</v>
      </c>
      <c r="E182" s="4">
        <v>2</v>
      </c>
      <c r="F182" s="4">
        <f>RDG!G64</f>
        <v>181</v>
      </c>
      <c r="G182" s="4">
        <f>IF(RDG!H64=0,"",RDG!H64)</f>
      </c>
      <c r="H182" s="30">
        <f t="shared" si="6"/>
        <v>28695.739999999998</v>
      </c>
      <c r="I182" s="4">
        <f t="shared" si="7"/>
        <v>0</v>
      </c>
      <c r="J182" s="31">
        <f>RDG!I64</f>
        <v>15854</v>
      </c>
      <c r="K182" s="31">
        <f>RDG!J64</f>
        <v>0</v>
      </c>
    </row>
    <row r="183" spans="4:11" ht="12.75">
      <c r="D183" s="4" t="s">
        <v>541</v>
      </c>
      <c r="E183" s="4">
        <v>2</v>
      </c>
      <c r="F183" s="4">
        <f>RDG!G65</f>
        <v>182</v>
      </c>
      <c r="G183" s="4">
        <f>IF(RDG!H65=0,"",RDG!H65)</f>
      </c>
      <c r="H183" s="30">
        <f t="shared" si="6"/>
        <v>9576.84</v>
      </c>
      <c r="I183" s="4">
        <f t="shared" si="7"/>
        <v>0</v>
      </c>
      <c r="J183" s="31">
        <f>RDG!I65</f>
        <v>0</v>
      </c>
      <c r="K183" s="31">
        <f>RDG!J65</f>
        <v>2631</v>
      </c>
    </row>
    <row r="184" spans="4:11" ht="12.75">
      <c r="D184" s="4" t="s">
        <v>541</v>
      </c>
      <c r="E184" s="4">
        <v>2</v>
      </c>
      <c r="F184" s="4">
        <f>RDG!G66</f>
        <v>183</v>
      </c>
      <c r="G184" s="4">
        <f>IF(RDG!H66=0,"",RDG!H66)</f>
      </c>
      <c r="H184" s="30">
        <f t="shared" si="6"/>
        <v>58603.91999999999</v>
      </c>
      <c r="I184" s="4">
        <f t="shared" si="7"/>
        <v>0</v>
      </c>
      <c r="J184" s="31">
        <f>RDG!I66</f>
        <v>-15854</v>
      </c>
      <c r="K184" s="31">
        <f>RDG!J66</f>
        <v>23939</v>
      </c>
    </row>
    <row r="185" spans="4:11" ht="12.75">
      <c r="D185" s="4" t="s">
        <v>541</v>
      </c>
      <c r="E185" s="4">
        <v>2</v>
      </c>
      <c r="F185" s="4">
        <f>RDG!G67</f>
        <v>184</v>
      </c>
      <c r="G185" s="4">
        <f>IF(RDG!H67=0,"",RDG!H67)</f>
      </c>
      <c r="H185" s="30">
        <f t="shared" si="6"/>
        <v>88095.51999999999</v>
      </c>
      <c r="I185" s="4">
        <f t="shared" si="7"/>
        <v>0</v>
      </c>
      <c r="J185" s="31">
        <f>RDG!I67</f>
        <v>0</v>
      </c>
      <c r="K185" s="31">
        <f>RDG!J67</f>
        <v>23939</v>
      </c>
    </row>
    <row r="186" spans="4:11" ht="12.75">
      <c r="D186" s="4" t="s">
        <v>541</v>
      </c>
      <c r="E186" s="4">
        <v>2</v>
      </c>
      <c r="F186" s="4">
        <f>RDG!G68</f>
        <v>185</v>
      </c>
      <c r="G186" s="4">
        <f>IF(RDG!H68=0,"",RDG!H68)</f>
      </c>
      <c r="H186" s="30">
        <f t="shared" si="6"/>
        <v>29329.899999999998</v>
      </c>
      <c r="I186" s="4">
        <f t="shared" si="7"/>
        <v>0</v>
      </c>
      <c r="J186" s="31">
        <f>RDG!I68</f>
        <v>15854</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2992184.58</v>
      </c>
      <c r="I232" s="4">
        <f t="shared" si="11"/>
        <v>0</v>
      </c>
      <c r="J232" s="31">
        <f>Dodatni!I25</f>
        <v>381038</v>
      </c>
      <c r="K232" s="31">
        <f>Dodatni!J25</f>
        <v>457140</v>
      </c>
    </row>
    <row r="233" spans="4:11" ht="12.75">
      <c r="D233" s="4" t="s">
        <v>1522</v>
      </c>
      <c r="E233" s="4">
        <v>3</v>
      </c>
      <c r="F233" s="4">
        <f>Dodatni!H26</f>
        <v>232</v>
      </c>
      <c r="H233" s="30">
        <f t="shared" si="10"/>
        <v>66959.84</v>
      </c>
      <c r="I233" s="4">
        <f t="shared" si="11"/>
        <v>0</v>
      </c>
      <c r="J233" s="31">
        <f>Dodatni!I26</f>
        <v>9232</v>
      </c>
      <c r="K233" s="31">
        <f>Dodatni!J26</f>
        <v>9815</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67537.08</v>
      </c>
      <c r="I235" s="4">
        <f t="shared" si="11"/>
        <v>0</v>
      </c>
      <c r="J235" s="31">
        <f>Dodatni!I28</f>
        <v>9232</v>
      </c>
      <c r="K235" s="31">
        <f>Dodatni!J28</f>
        <v>9815</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44953.28</v>
      </c>
      <c r="I237" s="4">
        <f t="shared" si="11"/>
        <v>0</v>
      </c>
      <c r="J237" s="31">
        <f>Dodatni!I30</f>
        <v>0</v>
      </c>
      <c r="K237" s="31">
        <f>Dodatni!J30</f>
        <v>9524</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3250611.76</v>
      </c>
      <c r="I243" s="4">
        <f t="shared" si="11"/>
        <v>0</v>
      </c>
      <c r="J243" s="31">
        <f>Dodatni!I37</f>
        <v>390270</v>
      </c>
      <c r="K243" s="31">
        <f>Dodatni!J37</f>
        <v>476479</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452972.51999999996</v>
      </c>
      <c r="I253" s="4">
        <f t="shared" si="11"/>
        <v>0</v>
      </c>
      <c r="J253" s="31">
        <f>Dodatni!I50</f>
        <v>53865</v>
      </c>
      <c r="K253" s="31">
        <f>Dodatni!J50</f>
        <v>62943</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28857.780000000002</v>
      </c>
      <c r="I260" s="4">
        <f t="shared" si="11"/>
        <v>0</v>
      </c>
      <c r="J260" s="31">
        <f>Dodatni!I57</f>
        <v>4252</v>
      </c>
      <c r="K260" s="31">
        <f>Dodatni!J57</f>
        <v>3445</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19215.08</v>
      </c>
      <c r="I263" s="4">
        <f t="shared" si="11"/>
        <v>0</v>
      </c>
      <c r="J263" s="31">
        <f>Dodatni!I60</f>
        <v>2582</v>
      </c>
      <c r="K263" s="31">
        <f>Dodatni!J60</f>
        <v>2376</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1320</v>
      </c>
      <c r="I265" s="4">
        <f t="shared" si="11"/>
        <v>0</v>
      </c>
      <c r="J265" s="31">
        <f>Dodatni!I62</f>
        <v>0</v>
      </c>
      <c r="K265" s="31">
        <f>Dodatni!J62</f>
        <v>250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126744.9</v>
      </c>
      <c r="I268" s="4">
        <f t="shared" si="11"/>
        <v>0</v>
      </c>
      <c r="J268" s="31">
        <f>Dodatni!I65</f>
        <v>14088</v>
      </c>
      <c r="K268" s="31">
        <f>Dodatni!J65</f>
        <v>16691</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1663.18</v>
      </c>
      <c r="I275" s="4">
        <f aca="true" t="shared" si="13" ref="I275:I284">ABS(ROUND(J275,0)-J275)+ABS(ROUND(K275,0)-K275)</f>
        <v>0</v>
      </c>
      <c r="J275" s="31">
        <f>Dodatni!I73</f>
        <v>461</v>
      </c>
      <c r="K275" s="31">
        <f>Dodatni!J73</f>
        <v>73</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8.31</v>
      </c>
      <c r="I278" s="4">
        <f t="shared" si="13"/>
        <v>0</v>
      </c>
      <c r="J278" s="31">
        <f>Dodatni!I76</f>
        <v>3</v>
      </c>
      <c r="K278" s="31">
        <f>Dodatni!J76</f>
        <v>0</v>
      </c>
    </row>
    <row r="279" spans="4:11" ht="12.75">
      <c r="D279" s="4" t="s">
        <v>1522</v>
      </c>
      <c r="E279" s="4">
        <v>3</v>
      </c>
      <c r="F279" s="4">
        <f>Dodatni!H78</f>
        <v>278</v>
      </c>
      <c r="H279" s="30">
        <f t="shared" si="12"/>
        <v>76572.31999999999</v>
      </c>
      <c r="I279" s="4">
        <f t="shared" si="13"/>
        <v>0</v>
      </c>
      <c r="J279" s="31">
        <f>Dodatni!I78</f>
        <v>0</v>
      </c>
      <c r="K279" s="31">
        <f>Dodatni!J78</f>
        <v>13772</v>
      </c>
    </row>
    <row r="280" spans="4:11" ht="12.75">
      <c r="D280" s="4" t="s">
        <v>1522</v>
      </c>
      <c r="E280" s="4">
        <v>3</v>
      </c>
      <c r="F280" s="4">
        <f>Dodatni!H79</f>
        <v>279</v>
      </c>
      <c r="H280" s="30">
        <f t="shared" si="12"/>
        <v>53143.92</v>
      </c>
      <c r="I280" s="4">
        <f t="shared" si="13"/>
        <v>0</v>
      </c>
      <c r="J280" s="31">
        <f>Dodatni!I79</f>
        <v>0</v>
      </c>
      <c r="K280" s="31">
        <f>Dodatni!J79</f>
        <v>9524</v>
      </c>
    </row>
    <row r="281" spans="4:11" ht="12.75">
      <c r="D281" s="4" t="s">
        <v>1522</v>
      </c>
      <c r="E281" s="4">
        <v>3</v>
      </c>
      <c r="F281" s="4">
        <f>Dodatni!H80</f>
        <v>280</v>
      </c>
      <c r="H281" s="30">
        <f t="shared" si="12"/>
        <v>23788.8</v>
      </c>
      <c r="I281" s="4">
        <f t="shared" si="13"/>
        <v>0</v>
      </c>
      <c r="J281" s="31">
        <f>Dodatni!I80</f>
        <v>0</v>
      </c>
      <c r="K281" s="31">
        <f>Dodatni!J80</f>
        <v>4248</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24128.64</v>
      </c>
      <c r="I285" s="4">
        <f aca="true" t="shared" si="15" ref="I285:I291">ABS(ROUND(J285,0)-J285)+ABS(ROUND(K285,0)-K285)</f>
        <v>0</v>
      </c>
      <c r="J285" s="31">
        <f>Dodatni!I84</f>
        <v>0</v>
      </c>
      <c r="K285" s="31">
        <f>Dodatni!J84</f>
        <v>4248</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 activePane="bottomLeft" state="frozen"/>
      <selection pane="topLeft" activeCell="A2" sqref="A2"/>
      <selection pane="bottomLeft" activeCell="C2" sqref="C2"/>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VODOOPSKRBA d.o.o. za javnu vodoopskrbu i odvodnju</v>
      </c>
      <c r="X2" s="209" t="s">
        <v>207</v>
      </c>
      <c r="Y2" s="231">
        <f>IF(RefStr!C54&lt;&gt;"",RefStr!C54,"")</f>
        <v>100</v>
      </c>
      <c r="Z2" s="209" t="s">
        <v>2326</v>
      </c>
      <c r="AA2" s="231">
        <f>IF(RefStr!B64="","",RefStr!B64)</f>
      </c>
    </row>
    <row r="3" spans="1:27" ht="13.5" customHeight="1">
      <c r="A3" s="494" t="s">
        <v>2472</v>
      </c>
      <c r="B3" s="495"/>
      <c r="C3" s="495"/>
      <c r="D3" s="495"/>
      <c r="E3" s="495"/>
      <c r="F3" s="495"/>
      <c r="G3" s="495"/>
      <c r="H3" s="495"/>
      <c r="I3" s="502"/>
      <c r="J3" s="503"/>
      <c r="L3" s="145"/>
      <c r="M3" s="145"/>
      <c r="N3" s="208" t="s">
        <v>541</v>
      </c>
      <c r="O3" s="211">
        <f>RDG!Q1</f>
        <v>1</v>
      </c>
      <c r="P3" s="212">
        <f>RDG!Q2</f>
        <v>1</v>
      </c>
      <c r="Q3" s="232">
        <f>RDG!Q3</f>
        <v>1</v>
      </c>
      <c r="R3" s="211" t="s">
        <v>1824</v>
      </c>
      <c r="S3" s="232">
        <f>IF(RefStr!C50&lt;&gt;"",IF(ISERROR(INT(RefStr!C50)),0,RefStr!C50),0)</f>
        <v>1</v>
      </c>
      <c r="T3" s="211" t="s">
        <v>777</v>
      </c>
      <c r="U3" s="232">
        <f>RefStr!L21</f>
        <v>0</v>
      </c>
      <c r="V3" s="211" t="s">
        <v>2355</v>
      </c>
      <c r="W3" s="232">
        <f>RefStr!C31</f>
        <v>44450</v>
      </c>
      <c r="X3" s="211" t="s">
        <v>208</v>
      </c>
      <c r="Y3" s="232">
        <f>IF(RefStr!F54&lt;&gt;"",RefStr!F54,"")</f>
        <v>0</v>
      </c>
      <c r="Z3" s="211" t="s">
        <v>2327</v>
      </c>
      <c r="AA3" s="232">
        <f>IF(RefStr!B66="","",RefStr!B66)</f>
      </c>
    </row>
    <row r="4" spans="1:27" ht="13.5" customHeight="1">
      <c r="A4" s="496"/>
      <c r="B4" s="497"/>
      <c r="C4" s="497"/>
      <c r="D4" s="497"/>
      <c r="E4" s="497"/>
      <c r="F4" s="497"/>
      <c r="G4" s="497"/>
      <c r="H4" s="497"/>
      <c r="I4" s="222" t="s">
        <v>15</v>
      </c>
      <c r="J4" s="223">
        <f>SUM(L12:L120)</f>
        <v>0</v>
      </c>
      <c r="L4" s="3"/>
      <c r="M4" s="3"/>
      <c r="N4" s="208" t="s">
        <v>1522</v>
      </c>
      <c r="O4" s="211">
        <f>Dodatni!Q1</f>
        <v>1</v>
      </c>
      <c r="P4" s="212">
        <f>Dodatni!Q2</f>
        <v>1</v>
      </c>
      <c r="Q4" s="232">
        <f>Dodatni!Q3</f>
        <v>1</v>
      </c>
      <c r="R4" s="211" t="s">
        <v>1199</v>
      </c>
      <c r="S4" s="232">
        <f>IF(RefStr!C52&lt;&gt;"",IF(ISERROR(INT(RefStr!C52)),0,RefStr!C52),0)</f>
        <v>11</v>
      </c>
      <c r="T4" s="211" t="s">
        <v>2718</v>
      </c>
      <c r="U4" s="232" t="str">
        <f>RefStr!C27</f>
        <v>36297945940</v>
      </c>
      <c r="V4" s="211" t="s">
        <v>2356</v>
      </c>
      <c r="W4" s="232" t="str">
        <f>RefStr!F31</f>
        <v>Hrvatska Dubica</v>
      </c>
      <c r="X4" s="234" t="s">
        <v>222</v>
      </c>
      <c r="Y4" s="235" t="str">
        <f>RefStr!I68</f>
        <v>DA</v>
      </c>
      <c r="Z4" s="211" t="s">
        <v>2570</v>
      </c>
      <c r="AA4" s="232" t="str">
        <f>RefStr!N19</f>
        <v>HSFI</v>
      </c>
    </row>
    <row r="5" spans="1:27" ht="13.5" customHeight="1">
      <c r="A5" s="496"/>
      <c r="B5" s="497"/>
      <c r="C5" s="497"/>
      <c r="D5" s="497"/>
      <c r="E5" s="497"/>
      <c r="F5" s="497"/>
      <c r="G5" s="497"/>
      <c r="H5" s="497"/>
      <c r="I5" s="504"/>
      <c r="J5" s="505"/>
      <c r="L5" s="3"/>
      <c r="M5" s="3"/>
      <c r="N5" s="208" t="s">
        <v>1523</v>
      </c>
      <c r="O5" s="211">
        <f>NT_I!Q1</f>
        <v>0</v>
      </c>
      <c r="P5" s="212">
        <f>NT_I!Q2</f>
        <v>0</v>
      </c>
      <c r="Q5" s="232">
        <f>NT_I!Q3</f>
        <v>0</v>
      </c>
      <c r="R5" s="211" t="s">
        <v>1197</v>
      </c>
      <c r="S5" s="232">
        <f>IF(RefStr!C19&lt;&gt;"",IF(ISERROR(INT(RefStr!C19)),0,RefStr!C19),0)</f>
        <v>3</v>
      </c>
      <c r="T5" s="211" t="s">
        <v>2352</v>
      </c>
      <c r="U5" s="232" t="str">
        <f>RefStr!H27</f>
        <v>02719240</v>
      </c>
      <c r="V5" s="211" t="s">
        <v>2357</v>
      </c>
      <c r="W5" s="232" t="str">
        <f>RefStr!C33</f>
        <v>P. Berislavića 39</v>
      </c>
      <c r="X5" s="234" t="s">
        <v>2517</v>
      </c>
      <c r="Y5" s="235" t="str">
        <f>RefStr!I62</f>
        <v>NE</v>
      </c>
      <c r="Z5" s="211" t="s">
        <v>691</v>
      </c>
      <c r="AA5" s="232">
        <f>RefStr!M46</f>
        <v>0</v>
      </c>
    </row>
    <row r="6" spans="1:27" ht="13.5" customHeight="1">
      <c r="A6" s="496"/>
      <c r="B6" s="497"/>
      <c r="C6" s="497"/>
      <c r="D6" s="497"/>
      <c r="E6" s="497"/>
      <c r="F6" s="497"/>
      <c r="G6" s="497"/>
      <c r="H6" s="497"/>
      <c r="I6" s="504"/>
      <c r="J6" s="505"/>
      <c r="L6" s="3"/>
      <c r="M6" s="3"/>
      <c r="N6" s="208" t="s">
        <v>1524</v>
      </c>
      <c r="O6" s="211">
        <f>NT_D!Q1</f>
        <v>0</v>
      </c>
      <c r="P6" s="212">
        <f>NT_D!Q2</f>
        <v>0</v>
      </c>
      <c r="Q6" s="232">
        <f>NT_D!Q3</f>
        <v>0</v>
      </c>
      <c r="R6" s="211" t="s">
        <v>1195</v>
      </c>
      <c r="S6" s="232" t="str">
        <f>RefStr!C21</f>
        <v>NE</v>
      </c>
      <c r="T6" s="211" t="s">
        <v>2353</v>
      </c>
      <c r="U6" s="232" t="str">
        <f>RefStr!M27</f>
        <v>080750820</v>
      </c>
      <c r="V6" s="211" t="s">
        <v>2568</v>
      </c>
      <c r="W6" s="232" t="str">
        <f>RefStr!L35</f>
        <v>044855422</v>
      </c>
      <c r="X6" s="211" t="s">
        <v>2514</v>
      </c>
      <c r="Y6" s="232" t="str">
        <f>RefStr!C68</f>
        <v>SABINE BLAŽEVIĆ</v>
      </c>
      <c r="Z6" s="211" t="s">
        <v>1415</v>
      </c>
      <c r="AA6" s="232">
        <f>RefStr!C46</f>
        <v>0</v>
      </c>
    </row>
    <row r="7" spans="1:27" ht="13.5" customHeight="1">
      <c r="A7" s="496"/>
      <c r="B7" s="497"/>
      <c r="C7" s="497"/>
      <c r="D7" s="497"/>
      <c r="E7" s="497"/>
      <c r="F7" s="497"/>
      <c r="G7" s="497"/>
      <c r="H7" s="497"/>
      <c r="I7" s="222" t="s">
        <v>16</v>
      </c>
      <c r="J7" s="224">
        <f>SUM(M12:M120)</f>
        <v>3</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KOMUNALAC@SK.T-COM.HR</v>
      </c>
      <c r="X7" s="211" t="s">
        <v>2515</v>
      </c>
      <c r="Y7" s="232" t="str">
        <f>RefStr!C70</f>
        <v>044855422</v>
      </c>
      <c r="Z7" s="211" t="s">
        <v>1416</v>
      </c>
      <c r="AA7" s="232">
        <f>RefStr!D46</f>
      </c>
    </row>
    <row r="8" spans="1:27" ht="13.5" customHeight="1">
      <c r="A8" s="498"/>
      <c r="B8" s="499"/>
      <c r="C8" s="499"/>
      <c r="D8" s="499"/>
      <c r="E8" s="499"/>
      <c r="F8" s="499"/>
      <c r="G8" s="499"/>
      <c r="H8" s="499"/>
      <c r="I8" s="500"/>
      <c r="J8" s="501"/>
      <c r="L8" s="195"/>
      <c r="M8" s="195"/>
      <c r="N8" s="230" t="s">
        <v>615</v>
      </c>
      <c r="O8" s="213" t="str">
        <f>IF(RefStr!N6="NE","DA",IF(RefStr!N6="DA","NE",RefStr!N6))</f>
        <v>NE</v>
      </c>
      <c r="P8" s="214">
        <f>RefStr!C60</f>
        <v>12</v>
      </c>
      <c r="Q8" s="233">
        <f>RefStr!F60</f>
        <v>12</v>
      </c>
      <c r="R8" s="211" t="s">
        <v>1859</v>
      </c>
      <c r="S8" s="232">
        <f>IF(RefStr!C4&lt;&gt;"",RefStr!C4,0)</f>
        <v>42736</v>
      </c>
      <c r="T8" s="211" t="s">
        <v>1861</v>
      </c>
      <c r="U8" s="232" t="str">
        <f>RefStr!D7</f>
        <v>Društvo s ograničenom odgovornošću</v>
      </c>
      <c r="V8" s="211" t="s">
        <v>2574</v>
      </c>
      <c r="W8" s="232" t="str">
        <f>RefStr!C42</f>
        <v>3600</v>
      </c>
      <c r="X8" s="211" t="s">
        <v>2516</v>
      </c>
      <c r="Y8" s="232" t="str">
        <f>TRIM(UPPER(RefStr!C72))</f>
        <v>KOMUNALAC@SK.T-COM.HR</v>
      </c>
      <c r="Z8" s="236" t="s">
        <v>218</v>
      </c>
      <c r="AA8" s="237" t="str">
        <f>RefStr!I56</f>
        <v>DA</v>
      </c>
    </row>
    <row r="9" spans="1:27" ht="13.5" customHeight="1">
      <c r="A9" s="506" t="s">
        <v>566</v>
      </c>
      <c r="B9" s="506"/>
      <c r="C9" s="506" t="s">
        <v>727</v>
      </c>
      <c r="D9" s="506"/>
      <c r="E9" s="506"/>
      <c r="F9" s="506"/>
      <c r="G9" s="506"/>
      <c r="H9" s="506"/>
      <c r="I9" s="506"/>
      <c r="J9" s="506"/>
      <c r="L9" s="195"/>
      <c r="M9" s="195"/>
      <c r="O9" s="230" t="s">
        <v>614</v>
      </c>
      <c r="P9" s="209">
        <f>RefStr!C58</f>
        <v>3</v>
      </c>
      <c r="Q9" s="231">
        <f>RefStr!F58</f>
        <v>3</v>
      </c>
      <c r="R9" s="211" t="s">
        <v>1860</v>
      </c>
      <c r="S9" s="232">
        <f>IF(RefStr!F4&lt;&gt;"",RefStr!F4,0)</f>
        <v>43100</v>
      </c>
      <c r="T9" s="211" t="s">
        <v>1821</v>
      </c>
      <c r="U9" s="232">
        <f>RefStr!C39</f>
        <v>149</v>
      </c>
      <c r="V9" s="211" t="s">
        <v>1414</v>
      </c>
      <c r="W9" s="232" t="str">
        <f>RefStr!D42</f>
        <v>Skupljanje, pročišćavanje i opskrba vo...</v>
      </c>
      <c r="X9" s="238" t="s">
        <v>221</v>
      </c>
      <c r="Y9" s="239" t="str">
        <f>RefStr!I66</f>
        <v>DA</v>
      </c>
      <c r="Z9" s="236" t="s">
        <v>219</v>
      </c>
      <c r="AA9" s="237" t="str">
        <f>RefStr!I64</f>
        <v>NE</v>
      </c>
    </row>
    <row r="10" spans="1:27" ht="13.5" customHeight="1">
      <c r="A10" s="507"/>
      <c r="B10" s="507"/>
      <c r="C10" s="507"/>
      <c r="D10" s="507"/>
      <c r="E10" s="507"/>
      <c r="F10" s="507"/>
      <c r="G10" s="507"/>
      <c r="H10" s="507"/>
      <c r="I10" s="507"/>
      <c r="J10" s="507"/>
      <c r="L10" s="195"/>
      <c r="M10" s="195"/>
      <c r="O10" s="230" t="s">
        <v>2123</v>
      </c>
      <c r="P10" s="213">
        <f>RefStr!C56</f>
        <v>3</v>
      </c>
      <c r="Q10" s="233">
        <f>RefStr!F56</f>
        <v>3</v>
      </c>
      <c r="R10" s="213" t="s">
        <v>1863</v>
      </c>
      <c r="S10" s="233">
        <f>RefStr!C23</f>
        <v>1</v>
      </c>
      <c r="T10" s="213" t="s">
        <v>2573</v>
      </c>
      <c r="U10" s="233" t="str">
        <f>RefStr!D39</f>
        <v>Hrvatska Dubica</v>
      </c>
      <c r="V10" s="240"/>
      <c r="W10" s="241"/>
      <c r="X10" s="242" t="s">
        <v>1974</v>
      </c>
      <c r="Y10" s="243">
        <f>RefStr!F12</f>
        <v>2017</v>
      </c>
      <c r="Z10" s="213" t="s">
        <v>209</v>
      </c>
      <c r="AA10" s="233" t="str">
        <f>RefStr!A75</f>
        <v>MATEA MIKULČIĆ</v>
      </c>
    </row>
    <row r="11" spans="1:25" ht="13.5" customHeight="1">
      <c r="A11" s="487" t="s">
        <v>642</v>
      </c>
      <c r="B11" s="488"/>
      <c r="C11" s="488"/>
      <c r="D11" s="488"/>
      <c r="E11" s="488"/>
      <c r="F11" s="488"/>
      <c r="G11" s="488"/>
      <c r="H11" s="488"/>
      <c r="I11" s="488"/>
      <c r="J11" s="489"/>
      <c r="L11" s="195"/>
      <c r="M11" s="195"/>
      <c r="N11" s="208"/>
      <c r="O11" s="215"/>
      <c r="P11" s="215"/>
      <c r="Q11" s="215"/>
      <c r="X11" s="3"/>
      <c r="Y11" s="3"/>
    </row>
    <row r="12" spans="1:15" ht="19.5" customHeight="1">
      <c r="A12" s="219">
        <v>1</v>
      </c>
      <c r="B12" s="221" t="str">
        <f aca="true" t="shared" si="0" ref="B12:B41">IF(L12=1,"Pogreška",IF(M12=1,"Provjera","OK"))</f>
        <v>OK</v>
      </c>
      <c r="C12" s="490" t="s">
        <v>616</v>
      </c>
      <c r="D12" s="490"/>
      <c r="E12" s="490"/>
      <c r="F12" s="490"/>
      <c r="G12" s="490"/>
      <c r="H12" s="490"/>
      <c r="I12" s="490"/>
      <c r="J12" s="490"/>
      <c r="L12" s="195">
        <f aca="true" t="shared" si="1" ref="L12:L19">MAX(N12:R12)</f>
        <v>0</v>
      </c>
      <c r="M12" s="195"/>
      <c r="N12" s="198">
        <f>IF(OR(S8=0,S9=0,S8&gt;=S9),1,0)</f>
        <v>0</v>
      </c>
      <c r="O12" s="198">
        <f>IF(AND(S9-S8&gt;366,OR(S2&lt;&gt;30,S5=1)),1,0)</f>
        <v>0</v>
      </c>
    </row>
    <row r="13" spans="1:14" ht="26.25" customHeight="1">
      <c r="A13" s="219">
        <f>A12+1</f>
        <v>2</v>
      </c>
      <c r="B13" s="221" t="str">
        <f t="shared" si="0"/>
        <v>OK</v>
      </c>
      <c r="C13" s="490" t="s">
        <v>2571</v>
      </c>
      <c r="D13" s="490"/>
      <c r="E13" s="490"/>
      <c r="F13" s="490"/>
      <c r="G13" s="490"/>
      <c r="H13" s="490"/>
      <c r="I13" s="490"/>
      <c r="J13" s="490"/>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90" t="s">
        <v>641</v>
      </c>
      <c r="D14" s="490"/>
      <c r="E14" s="490"/>
      <c r="F14" s="490"/>
      <c r="G14" s="490"/>
      <c r="H14" s="490"/>
      <c r="I14" s="490"/>
      <c r="J14" s="490"/>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90" t="s">
        <v>2532</v>
      </c>
      <c r="D15" s="490"/>
      <c r="E15" s="490"/>
      <c r="F15" s="490"/>
      <c r="G15" s="490"/>
      <c r="H15" s="490"/>
      <c r="I15" s="490"/>
      <c r="J15" s="490"/>
      <c r="L15" s="195">
        <f t="shared" si="1"/>
        <v>0</v>
      </c>
      <c r="M15" s="195"/>
      <c r="N15" s="195">
        <f>IF(AND(S6&lt;&gt;"DA",S6&lt;&gt;"NE"),1,0)</f>
        <v>0</v>
      </c>
      <c r="O15" s="195">
        <f>IF(AND(S6="DA",S5&lt;&gt;2),1,0)</f>
        <v>0</v>
      </c>
    </row>
    <row r="16" spans="1:15" ht="27" customHeight="1">
      <c r="A16" s="219">
        <f t="shared" si="2"/>
        <v>5</v>
      </c>
      <c r="B16" s="221" t="str">
        <f t="shared" si="0"/>
        <v>OK</v>
      </c>
      <c r="C16" s="490" t="s">
        <v>1653</v>
      </c>
      <c r="D16" s="490"/>
      <c r="E16" s="490"/>
      <c r="F16" s="490"/>
      <c r="G16" s="490"/>
      <c r="H16" s="490"/>
      <c r="I16" s="490"/>
      <c r="J16" s="490"/>
      <c r="L16" s="195">
        <f t="shared" si="1"/>
        <v>0</v>
      </c>
      <c r="M16" s="195"/>
      <c r="N16" s="195">
        <f>IF(AND(S5&lt;&gt;1,S5&lt;&gt;2,S5&lt;&gt;3),1,0)</f>
        <v>0</v>
      </c>
      <c r="O16" s="195">
        <f>IF(AND(S5&gt;1,U7&gt;7,U7&lt;&gt;12),1,0)</f>
        <v>0</v>
      </c>
    </row>
    <row r="17" spans="1:20" ht="88.5" customHeight="1">
      <c r="A17" s="219">
        <f t="shared" si="2"/>
        <v>6</v>
      </c>
      <c r="B17" s="221" t="str">
        <f t="shared" si="0"/>
        <v>OK</v>
      </c>
      <c r="C17" s="490" t="s">
        <v>315</v>
      </c>
      <c r="D17" s="490"/>
      <c r="E17" s="490"/>
      <c r="F17" s="490"/>
      <c r="G17" s="490"/>
      <c r="H17" s="490"/>
      <c r="I17" s="490"/>
      <c r="J17" s="490"/>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90" t="s">
        <v>2531</v>
      </c>
      <c r="D18" s="490"/>
      <c r="E18" s="490"/>
      <c r="F18" s="490"/>
      <c r="G18" s="490"/>
      <c r="H18" s="490"/>
      <c r="I18" s="490"/>
      <c r="J18" s="490"/>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90" t="s">
        <v>113</v>
      </c>
      <c r="D19" s="490"/>
      <c r="E19" s="490"/>
      <c r="F19" s="490"/>
      <c r="G19" s="490"/>
      <c r="H19" s="490"/>
      <c r="I19" s="490"/>
      <c r="J19" s="490"/>
      <c r="L19" s="195">
        <f t="shared" si="1"/>
        <v>0</v>
      </c>
      <c r="M19" s="195"/>
      <c r="N19" s="195">
        <f>IF(ISNUMBER(VALUE(U4)),0,1)</f>
        <v>0</v>
      </c>
      <c r="O19" s="195">
        <f>IF(U4=0,1,0)</f>
        <v>0</v>
      </c>
      <c r="P19" s="198">
        <f>IF(LEN(U4)&gt;11,1,0)</f>
        <v>0</v>
      </c>
    </row>
    <row r="20" spans="1:19" ht="41.25" customHeight="1">
      <c r="A20" s="219">
        <f t="shared" si="2"/>
        <v>9</v>
      </c>
      <c r="B20" s="221" t="str">
        <f t="shared" si="0"/>
        <v>OK</v>
      </c>
      <c r="C20" s="490" t="s">
        <v>2564</v>
      </c>
      <c r="D20" s="490"/>
      <c r="E20" s="490"/>
      <c r="F20" s="490"/>
      <c r="G20" s="490"/>
      <c r="H20" s="490"/>
      <c r="I20" s="490"/>
      <c r="J20" s="490"/>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90" t="s">
        <v>2565</v>
      </c>
      <c r="D21" s="490"/>
      <c r="E21" s="490"/>
      <c r="F21" s="490"/>
      <c r="G21" s="490"/>
      <c r="H21" s="490"/>
      <c r="I21" s="490"/>
      <c r="J21" s="490"/>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90" t="s">
        <v>2566</v>
      </c>
      <c r="D22" s="490"/>
      <c r="E22" s="490"/>
      <c r="F22" s="490"/>
      <c r="G22" s="490"/>
      <c r="H22" s="490"/>
      <c r="I22" s="490"/>
      <c r="J22" s="490"/>
      <c r="L22" s="195">
        <f>MAX(N22:R22)</f>
        <v>0</v>
      </c>
      <c r="M22" s="195"/>
      <c r="N22" s="195">
        <f>IF(OR(LEN(W2)&lt;3,W2=0),1,0)</f>
        <v>0</v>
      </c>
      <c r="O22" s="195"/>
    </row>
    <row r="23" spans="1:17" ht="25.5" customHeight="1">
      <c r="A23" s="219">
        <f t="shared" si="2"/>
        <v>12</v>
      </c>
      <c r="B23" s="221" t="str">
        <f t="shared" si="0"/>
        <v>OK</v>
      </c>
      <c r="C23" s="490" t="s">
        <v>2567</v>
      </c>
      <c r="D23" s="490"/>
      <c r="E23" s="490"/>
      <c r="F23" s="490"/>
      <c r="G23" s="490"/>
      <c r="H23" s="490"/>
      <c r="I23" s="490"/>
      <c r="J23" s="490"/>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90" t="s">
        <v>2572</v>
      </c>
      <c r="D24" s="490"/>
      <c r="E24" s="490"/>
      <c r="F24" s="490"/>
      <c r="G24" s="490"/>
      <c r="H24" s="490"/>
      <c r="I24" s="490"/>
      <c r="J24" s="490"/>
      <c r="L24" s="195">
        <f>MAX(N24:R24)</f>
        <v>0</v>
      </c>
      <c r="M24" s="195"/>
      <c r="N24" s="195">
        <f>IF(OR(W5=0,W6=0),1,0)</f>
        <v>0</v>
      </c>
      <c r="O24" s="195">
        <f>IF(LEN(W5)&lt;4,1,0)</f>
        <v>0</v>
      </c>
      <c r="P24" s="198">
        <f>IF(LEN(W6)&lt;6,1,0)</f>
        <v>0</v>
      </c>
    </row>
    <row r="25" spans="1:60" ht="24.75" customHeight="1">
      <c r="A25" s="219">
        <f t="shared" si="2"/>
        <v>14</v>
      </c>
      <c r="B25" s="221" t="str">
        <f t="shared" si="0"/>
        <v>OK</v>
      </c>
      <c r="C25" s="490" t="s">
        <v>2132</v>
      </c>
      <c r="D25" s="490"/>
      <c r="E25" s="490"/>
      <c r="F25" s="490"/>
      <c r="G25" s="490"/>
      <c r="H25" s="490"/>
      <c r="I25" s="490"/>
      <c r="J25" s="490"/>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90" t="s">
        <v>1417</v>
      </c>
      <c r="D26" s="490"/>
      <c r="E26" s="490"/>
      <c r="F26" s="490"/>
      <c r="G26" s="490"/>
      <c r="H26" s="490"/>
      <c r="I26" s="490"/>
      <c r="J26" s="490"/>
      <c r="L26" s="195">
        <f>MAX(N26:R26)</f>
        <v>0</v>
      </c>
      <c r="M26" s="195"/>
      <c r="N26" s="195">
        <f>IF(OR(U9&lt;1,U9&gt;631),1,0)</f>
        <v>0</v>
      </c>
      <c r="O26" s="195">
        <f>IF(U10="Šifra grada/općine ne postoji",1,0)</f>
        <v>0</v>
      </c>
    </row>
    <row r="27" spans="1:14" ht="19.5" customHeight="1">
      <c r="A27" s="219">
        <f t="shared" si="2"/>
        <v>16</v>
      </c>
      <c r="B27" s="221" t="str">
        <f t="shared" si="0"/>
        <v>OK</v>
      </c>
      <c r="C27" s="490" t="s">
        <v>2128</v>
      </c>
      <c r="D27" s="490"/>
      <c r="E27" s="490"/>
      <c r="F27" s="490"/>
      <c r="G27" s="490"/>
      <c r="H27" s="490"/>
      <c r="I27" s="490"/>
      <c r="J27" s="490"/>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90" t="s">
        <v>2133</v>
      </c>
      <c r="D28" s="490"/>
      <c r="E28" s="490"/>
      <c r="F28" s="490"/>
      <c r="G28" s="490"/>
      <c r="H28" s="490"/>
      <c r="I28" s="490"/>
      <c r="J28" s="490"/>
      <c r="L28" s="195">
        <f>MAX(N28:T28)</f>
        <v>0</v>
      </c>
      <c r="M28" s="195"/>
      <c r="N28" s="195">
        <f>IF(AND(S7=10,OR(U7&lt;8,U7=12)),1,0)</f>
        <v>0</v>
      </c>
      <c r="O28" s="198">
        <f>IF(AND(S7&lt;10,OR(U7=9,U7=10,U7=11,U7&gt;12)),1,0)</f>
        <v>0</v>
      </c>
    </row>
    <row r="29" spans="1:15" ht="42" customHeight="1">
      <c r="A29" s="219">
        <f t="shared" si="2"/>
        <v>18</v>
      </c>
      <c r="B29" s="221" t="str">
        <f t="shared" si="3"/>
        <v>OK</v>
      </c>
      <c r="C29" s="490" t="s">
        <v>2129</v>
      </c>
      <c r="D29" s="490"/>
      <c r="E29" s="490"/>
      <c r="F29" s="490"/>
      <c r="G29" s="490"/>
      <c r="H29" s="490"/>
      <c r="I29" s="490"/>
      <c r="J29" s="490"/>
      <c r="L29" s="195">
        <f>MAX(N29:S29)</f>
        <v>0</v>
      </c>
      <c r="M29" s="195"/>
      <c r="N29" s="195">
        <f>IF(AND(OR(S7=3,S7=6),OR(AA6=0,AA6="")),1,0)</f>
        <v>0</v>
      </c>
      <c r="O29" s="198">
        <f>IF(AND(AND(S7&lt;&gt;3,S7&lt;&gt;6),AND(AA6&lt;&gt;0,AA6&lt;&gt;"")),1,0)</f>
        <v>0</v>
      </c>
    </row>
    <row r="30" spans="1:16" ht="65.25" customHeight="1">
      <c r="A30" s="219">
        <f t="shared" si="2"/>
        <v>19</v>
      </c>
      <c r="B30" s="221" t="str">
        <f t="shared" si="3"/>
        <v>OK</v>
      </c>
      <c r="C30" s="490" t="s">
        <v>174</v>
      </c>
      <c r="D30" s="490"/>
      <c r="E30" s="490"/>
      <c r="F30" s="490"/>
      <c r="G30" s="490"/>
      <c r="H30" s="490"/>
      <c r="I30" s="490"/>
      <c r="J30" s="490"/>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90" t="s">
        <v>2134</v>
      </c>
      <c r="D31" s="490"/>
      <c r="E31" s="490"/>
      <c r="F31" s="490"/>
      <c r="G31" s="490"/>
      <c r="H31" s="490"/>
      <c r="I31" s="490"/>
      <c r="J31" s="490"/>
      <c r="L31" s="195">
        <f aca="true" t="shared" si="4" ref="L31:L38">MAX(N31:R31)</f>
        <v>0</v>
      </c>
      <c r="M31" s="195"/>
      <c r="N31" s="195">
        <f>IF(AND(S6="DA",OR(S7=1,S7=2,S7=3,S7=9,S7=10)),1,0)</f>
        <v>0</v>
      </c>
    </row>
    <row r="32" spans="1:14" ht="40.5" customHeight="1">
      <c r="A32" s="219">
        <f t="shared" si="2"/>
        <v>21</v>
      </c>
      <c r="B32" s="221" t="str">
        <f t="shared" si="3"/>
        <v>OK</v>
      </c>
      <c r="C32" s="490" t="s">
        <v>2135</v>
      </c>
      <c r="D32" s="490"/>
      <c r="E32" s="490"/>
      <c r="F32" s="490"/>
      <c r="G32" s="490"/>
      <c r="H32" s="490"/>
      <c r="I32" s="490"/>
      <c r="J32" s="490"/>
      <c r="L32" s="195">
        <f t="shared" si="4"/>
        <v>0</v>
      </c>
      <c r="M32" s="195"/>
      <c r="N32" s="195">
        <f>IF(AND(S7&lt;10,OR(U7&gt;12,U7=8,U7=9,U7=10)),1,0)</f>
        <v>0</v>
      </c>
    </row>
    <row r="33" spans="1:14" ht="19.5" customHeight="1">
      <c r="A33" s="219">
        <f t="shared" si="2"/>
        <v>22</v>
      </c>
      <c r="B33" s="221" t="str">
        <f t="shared" si="3"/>
        <v>OK</v>
      </c>
      <c r="C33" s="490" t="s">
        <v>2533</v>
      </c>
      <c r="D33" s="490"/>
      <c r="E33" s="490"/>
      <c r="F33" s="490"/>
      <c r="G33" s="490"/>
      <c r="H33" s="490"/>
      <c r="I33" s="490"/>
      <c r="J33" s="490"/>
      <c r="L33" s="195">
        <f t="shared" si="4"/>
        <v>0</v>
      </c>
      <c r="M33" s="195"/>
      <c r="N33" s="195">
        <f>IF(AA7="Šifra države nepostojeća",1,0)</f>
        <v>0</v>
      </c>
    </row>
    <row r="34" spans="1:15" ht="19.5" customHeight="1">
      <c r="A34" s="219">
        <f t="shared" si="2"/>
        <v>23</v>
      </c>
      <c r="B34" s="221" t="str">
        <f t="shared" si="0"/>
        <v>OK</v>
      </c>
      <c r="C34" s="490" t="s">
        <v>1418</v>
      </c>
      <c r="D34" s="490"/>
      <c r="E34" s="490"/>
      <c r="F34" s="490"/>
      <c r="G34" s="490"/>
      <c r="H34" s="490"/>
      <c r="I34" s="490"/>
      <c r="J34" s="490"/>
      <c r="L34" s="195">
        <f t="shared" si="4"/>
        <v>0</v>
      </c>
      <c r="M34" s="195"/>
      <c r="N34" s="195">
        <f>IF(AND(OR(W8=0,W8=""),U7&lt;&gt;16),1,0)</f>
        <v>0</v>
      </c>
      <c r="O34" s="198">
        <f>IF(W9="Šifra NKD-a ne postoji",1,0)</f>
        <v>0</v>
      </c>
    </row>
    <row r="35" spans="1:15" ht="19.5" customHeight="1">
      <c r="A35" s="219">
        <f t="shared" si="2"/>
        <v>24</v>
      </c>
      <c r="B35" s="221" t="str">
        <f>IF(L35=1,"Pogreška",IF(M35=1,"Provjera","OK"))</f>
        <v>OK</v>
      </c>
      <c r="C35" s="490" t="s">
        <v>2136</v>
      </c>
      <c r="D35" s="490"/>
      <c r="E35" s="490"/>
      <c r="F35" s="490"/>
      <c r="G35" s="490"/>
      <c r="H35" s="490"/>
      <c r="I35" s="490"/>
      <c r="J35" s="490"/>
      <c r="L35" s="195">
        <f t="shared" si="4"/>
        <v>0</v>
      </c>
      <c r="M35" s="195"/>
      <c r="N35" s="195">
        <f>IF(AND(S3&lt;&gt;1,S3&lt;&gt;2,S3&lt;&gt;3,S3&lt;&gt;4),1,0)</f>
        <v>0</v>
      </c>
      <c r="O35" s="198">
        <f>IF(AND(S6="DA",S3=1),1,0)</f>
        <v>0</v>
      </c>
    </row>
    <row r="36" spans="1:14" ht="19.5" customHeight="1">
      <c r="A36" s="219">
        <f t="shared" si="2"/>
        <v>25</v>
      </c>
      <c r="B36" s="221" t="str">
        <f>IF(L36=1,"Pogreška",IF(M36=1,"Provjera","OK"))</f>
        <v>OK</v>
      </c>
      <c r="C36" s="490" t="s">
        <v>2137</v>
      </c>
      <c r="D36" s="490"/>
      <c r="E36" s="490"/>
      <c r="F36" s="490"/>
      <c r="G36" s="490"/>
      <c r="H36" s="490"/>
      <c r="I36" s="490"/>
      <c r="J36" s="490"/>
      <c r="L36" s="195">
        <f t="shared" si="4"/>
        <v>0</v>
      </c>
      <c r="M36" s="195"/>
      <c r="N36" s="195">
        <f>IF(AND(S4&lt;&gt;11,S4&lt;&gt;12,S4&lt;&gt;13,S4&lt;&gt;21,S4&lt;&gt;22,S4&lt;&gt;31,S4&lt;&gt;41,S4&lt;&gt;42),1,0)</f>
        <v>0</v>
      </c>
    </row>
    <row r="37" spans="1:16" ht="24.75" customHeight="1">
      <c r="A37" s="219">
        <f t="shared" si="2"/>
        <v>26</v>
      </c>
      <c r="B37" s="221" t="str">
        <f>IF(L37=1,"Pogreška",IF(M37=1,"Provjera","OK"))</f>
        <v>OK</v>
      </c>
      <c r="C37" s="490" t="s">
        <v>206</v>
      </c>
      <c r="D37" s="490"/>
      <c r="E37" s="490"/>
      <c r="F37" s="490"/>
      <c r="G37" s="490"/>
      <c r="H37" s="490"/>
      <c r="I37" s="490"/>
      <c r="J37" s="490"/>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90" t="s">
        <v>2512</v>
      </c>
      <c r="D38" s="490"/>
      <c r="E38" s="490"/>
      <c r="F38" s="490"/>
      <c r="G38" s="490"/>
      <c r="H38" s="490"/>
      <c r="I38" s="490"/>
      <c r="J38" s="490"/>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90" t="s">
        <v>1502</v>
      </c>
      <c r="D39" s="490"/>
      <c r="E39" s="490"/>
      <c r="F39" s="490"/>
      <c r="G39" s="490"/>
      <c r="H39" s="490"/>
      <c r="I39" s="490"/>
      <c r="J39" s="490"/>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90" t="s">
        <v>2328</v>
      </c>
      <c r="D40" s="490"/>
      <c r="E40" s="490"/>
      <c r="F40" s="490"/>
      <c r="G40" s="490"/>
      <c r="H40" s="490"/>
      <c r="I40" s="490"/>
      <c r="J40" s="490"/>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90" t="s">
        <v>2329</v>
      </c>
      <c r="D41" s="490"/>
      <c r="E41" s="490"/>
      <c r="F41" s="490"/>
      <c r="G41" s="490"/>
      <c r="H41" s="490"/>
      <c r="I41" s="490"/>
      <c r="J41" s="490"/>
      <c r="L41" s="195">
        <f aca="true" t="shared" si="5" ref="L41:L49">MAX(N41:R41)</f>
        <v>0</v>
      </c>
      <c r="M41" s="195"/>
      <c r="N41" s="195">
        <f>IF(LEN(AA10)&lt;5,1,0)</f>
        <v>0</v>
      </c>
      <c r="O41" s="195"/>
    </row>
    <row r="42" spans="1:16" ht="19.5" customHeight="1">
      <c r="A42" s="491" t="s">
        <v>516</v>
      </c>
      <c r="B42" s="492"/>
      <c r="C42" s="492"/>
      <c r="D42" s="492"/>
      <c r="E42" s="492"/>
      <c r="F42" s="492"/>
      <c r="G42" s="492"/>
      <c r="H42" s="492"/>
      <c r="I42" s="492"/>
      <c r="J42" s="493"/>
      <c r="L42" s="195">
        <f t="shared" si="5"/>
        <v>0</v>
      </c>
      <c r="M42" s="195"/>
      <c r="N42" s="195"/>
      <c r="O42" s="195"/>
      <c r="P42" s="195"/>
    </row>
    <row r="43" spans="1:17" ht="30" customHeight="1">
      <c r="A43" s="219">
        <f>A41+1</f>
        <v>31</v>
      </c>
      <c r="B43" s="221" t="str">
        <f>IF(L43=1,"Pogreška",IF(M43=1,"Provjera","OK"))</f>
        <v>OK</v>
      </c>
      <c r="C43" s="490" t="s">
        <v>755</v>
      </c>
      <c r="D43" s="490"/>
      <c r="E43" s="490"/>
      <c r="F43" s="490"/>
      <c r="G43" s="490"/>
      <c r="H43" s="490"/>
      <c r="I43" s="490"/>
      <c r="J43" s="490"/>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90" t="s">
        <v>1029</v>
      </c>
      <c r="D44" s="490"/>
      <c r="E44" s="490"/>
      <c r="F44" s="490"/>
      <c r="G44" s="490"/>
      <c r="H44" s="490"/>
      <c r="I44" s="490"/>
      <c r="J44" s="490"/>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90" t="s">
        <v>1969</v>
      </c>
      <c r="D45" s="490"/>
      <c r="E45" s="490"/>
      <c r="F45" s="490"/>
      <c r="G45" s="490"/>
      <c r="H45" s="490"/>
      <c r="I45" s="490"/>
      <c r="J45" s="490"/>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90" t="s">
        <v>728</v>
      </c>
      <c r="D46" s="490"/>
      <c r="E46" s="490"/>
      <c r="F46" s="490"/>
      <c r="G46" s="490"/>
      <c r="H46" s="490"/>
      <c r="I46" s="490"/>
      <c r="J46" s="490"/>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90" t="s">
        <v>729</v>
      </c>
      <c r="D47" s="490"/>
      <c r="E47" s="490"/>
      <c r="F47" s="490"/>
      <c r="G47" s="490"/>
      <c r="H47" s="490"/>
      <c r="I47" s="490"/>
      <c r="J47" s="490"/>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90" t="s">
        <v>1970</v>
      </c>
      <c r="D48" s="490"/>
      <c r="E48" s="490"/>
      <c r="F48" s="490"/>
      <c r="G48" s="490"/>
      <c r="H48" s="490"/>
      <c r="I48" s="490"/>
      <c r="J48" s="490"/>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90" t="s">
        <v>2127</v>
      </c>
      <c r="D49" s="490"/>
      <c r="E49" s="490"/>
      <c r="F49" s="490"/>
      <c r="G49" s="490"/>
      <c r="H49" s="490"/>
      <c r="I49" s="490"/>
      <c r="J49" s="490"/>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90"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90"/>
      <c r="E50" s="490"/>
      <c r="F50" s="490"/>
      <c r="G50" s="490"/>
      <c r="H50" s="490"/>
      <c r="I50" s="490"/>
      <c r="J50" s="490"/>
      <c r="L50" s="195">
        <f>IF(N50&lt;&gt;S3,1,0)</f>
        <v>0</v>
      </c>
      <c r="M50" s="195"/>
      <c r="N50" s="195">
        <f>IF(P8&gt;0,O50,AC50)</f>
        <v>1</v>
      </c>
      <c r="O50" s="199">
        <f>IF(SUM(Y50:AA50)&gt;1,4,IF(SUM(U50:W50)&gt;1,3,IF(SUM(Q50:S50)&gt;1,2,IF(S6="DA",2,1))))</f>
        <v>1</v>
      </c>
      <c r="P50" s="202" t="s">
        <v>2666</v>
      </c>
      <c r="Q50" s="202">
        <f>IF(Bilanca!I73&gt;2600000,1,0)</f>
        <v>1</v>
      </c>
      <c r="R50" s="201">
        <f>IF(RDG!I60&gt;5200000,1,0)</f>
        <v>0</v>
      </c>
      <c r="S50" s="201">
        <f>IF(P10&gt;10,1,0)</f>
        <v>0</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1</v>
      </c>
      <c r="AD50" s="202" t="s">
        <v>2666</v>
      </c>
      <c r="AE50" s="202">
        <f>IF(Bilanca!J73&gt;2600000,1,0)</f>
        <v>1</v>
      </c>
      <c r="AF50" s="201">
        <f>IF(S9&gt;S8,IF(RDG!J60*365/(S9-S8)&gt;5200000,1,0),0)</f>
        <v>0</v>
      </c>
      <c r="AG50" s="201">
        <f>IF(Q10&gt;10,1,0)</f>
        <v>0</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90" t="s">
        <v>1649</v>
      </c>
      <c r="D51" s="490"/>
      <c r="E51" s="490"/>
      <c r="F51" s="490"/>
      <c r="G51" s="490"/>
      <c r="H51" s="490"/>
      <c r="I51" s="490"/>
      <c r="J51" s="490"/>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90" t="s">
        <v>1650</v>
      </c>
      <c r="D52" s="490"/>
      <c r="E52" s="490"/>
      <c r="F52" s="490"/>
      <c r="G52" s="490"/>
      <c r="H52" s="490"/>
      <c r="I52" s="490"/>
      <c r="J52" s="490"/>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1</v>
      </c>
      <c r="AB52" s="225">
        <f>IF(RDG!I60&gt;30000000,1,0)</f>
        <v>0</v>
      </c>
      <c r="AC52" s="225">
        <f>IF(P10&gt;25,1,0)</f>
        <v>0</v>
      </c>
    </row>
    <row r="53" spans="1:15" ht="30" customHeight="1">
      <c r="A53" s="219">
        <f t="shared" si="6"/>
        <v>41</v>
      </c>
      <c r="B53" s="221" t="str">
        <f t="shared" si="7"/>
        <v>OK</v>
      </c>
      <c r="C53" s="490" t="s">
        <v>1129</v>
      </c>
      <c r="D53" s="490"/>
      <c r="E53" s="490"/>
      <c r="F53" s="490"/>
      <c r="G53" s="490"/>
      <c r="H53" s="490"/>
      <c r="I53" s="490"/>
      <c r="J53" s="490"/>
      <c r="L53" s="195">
        <f>MAX(N53:R53)</f>
        <v>0</v>
      </c>
      <c r="M53" s="195"/>
      <c r="N53" s="195">
        <f>IF(AND(S6="DA",AND(S2&lt;&gt;10,S2&lt;&gt;11,S2&lt;&gt;20,S2&lt;&gt;30)),1,0)</f>
        <v>0</v>
      </c>
      <c r="O53" s="195">
        <f>IF(AND(S5&lt;&gt;2,S6="DA"),1,0)</f>
        <v>0</v>
      </c>
    </row>
    <row r="54" spans="1:15" ht="30" customHeight="1">
      <c r="A54" s="219">
        <f t="shared" si="6"/>
        <v>42</v>
      </c>
      <c r="B54" s="221" t="str">
        <f t="shared" si="7"/>
        <v>OK</v>
      </c>
      <c r="C54" s="490" t="s">
        <v>2896</v>
      </c>
      <c r="D54" s="490"/>
      <c r="E54" s="490"/>
      <c r="F54" s="490"/>
      <c r="G54" s="490"/>
      <c r="H54" s="490"/>
      <c r="I54" s="490"/>
      <c r="J54" s="490"/>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90" t="s">
        <v>2897</v>
      </c>
      <c r="D55" s="490"/>
      <c r="E55" s="490"/>
      <c r="F55" s="490"/>
      <c r="G55" s="490"/>
      <c r="H55" s="490"/>
      <c r="I55" s="490"/>
      <c r="J55" s="490"/>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90" t="s">
        <v>2539</v>
      </c>
      <c r="D56" s="490"/>
      <c r="E56" s="490"/>
      <c r="F56" s="490"/>
      <c r="G56" s="490"/>
      <c r="H56" s="490"/>
      <c r="I56" s="490"/>
      <c r="J56" s="490"/>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90" t="s">
        <v>823</v>
      </c>
      <c r="D57" s="490"/>
      <c r="E57" s="490"/>
      <c r="F57" s="490"/>
      <c r="G57" s="490"/>
      <c r="H57" s="490"/>
      <c r="I57" s="490"/>
      <c r="J57" s="490"/>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90" t="s">
        <v>1030</v>
      </c>
      <c r="D58" s="490"/>
      <c r="E58" s="490"/>
      <c r="F58" s="490"/>
      <c r="G58" s="490"/>
      <c r="H58" s="490"/>
      <c r="I58" s="490"/>
      <c r="J58" s="490"/>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90" t="s">
        <v>1456</v>
      </c>
      <c r="D59" s="490"/>
      <c r="E59" s="490"/>
      <c r="F59" s="490"/>
      <c r="G59" s="490"/>
      <c r="H59" s="490"/>
      <c r="I59" s="490"/>
      <c r="J59" s="490"/>
      <c r="L59" s="200">
        <f>MAX(N59:Q59)</f>
        <v>0</v>
      </c>
      <c r="M59" s="195"/>
      <c r="N59" s="196">
        <f>IF(MIN(NT_I!I11:J11,NT_I!I15:J15,NT_I!I30:J36,NT_I!I59:J60)&lt;0,1,0)</f>
        <v>0</v>
      </c>
      <c r="O59" s="195"/>
      <c r="P59" s="195"/>
    </row>
    <row r="60" spans="1:16" ht="30" customHeight="1">
      <c r="A60" s="219">
        <f t="shared" si="10"/>
        <v>48</v>
      </c>
      <c r="B60" s="221" t="str">
        <f t="shared" si="11"/>
        <v>OK</v>
      </c>
      <c r="C60" s="490" t="s">
        <v>1457</v>
      </c>
      <c r="D60" s="490"/>
      <c r="E60" s="490"/>
      <c r="F60" s="490"/>
      <c r="G60" s="490"/>
      <c r="H60" s="490"/>
      <c r="I60" s="490"/>
      <c r="J60" s="490"/>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90" t="s">
        <v>1458</v>
      </c>
      <c r="D61" s="490"/>
      <c r="E61" s="490"/>
      <c r="F61" s="490"/>
      <c r="G61" s="490"/>
      <c r="H61" s="490"/>
      <c r="I61" s="490"/>
      <c r="J61" s="490"/>
      <c r="L61" s="200">
        <f>MAX(N61:Q61)</f>
        <v>0</v>
      </c>
      <c r="M61" s="195"/>
      <c r="N61" s="196">
        <f>IF(MIN(NT_D!I9:J12,NT_D!I22:J28,NT_D!I37:J41,NT_D!I51:J52)&lt;0,1,0)</f>
        <v>0</v>
      </c>
      <c r="O61" s="195"/>
      <c r="P61" s="195"/>
    </row>
    <row r="62" spans="1:16" ht="30" customHeight="1">
      <c r="A62" s="219">
        <f>A61+1</f>
        <v>50</v>
      </c>
      <c r="B62" s="221" t="str">
        <f>IF(L62=1,"Pogreška",IF(M62=1,"Provjera","OK"))</f>
        <v>OK</v>
      </c>
      <c r="C62" s="490" t="s">
        <v>1459</v>
      </c>
      <c r="D62" s="490"/>
      <c r="E62" s="490"/>
      <c r="F62" s="490"/>
      <c r="G62" s="490"/>
      <c r="H62" s="490"/>
      <c r="I62" s="490"/>
      <c r="J62" s="490"/>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90" t="s">
        <v>438</v>
      </c>
      <c r="D63" s="490"/>
      <c r="E63" s="490"/>
      <c r="F63" s="490"/>
      <c r="G63" s="490"/>
      <c r="H63" s="490"/>
      <c r="I63" s="490"/>
      <c r="J63" s="490"/>
      <c r="L63" s="200">
        <f>MAX(N63:Q63)</f>
        <v>0</v>
      </c>
      <c r="M63" s="195"/>
      <c r="N63" s="196">
        <f>IF(AND(S6="DA",ABS(RDG!I66-RDG!I85)&gt;1),1,0)</f>
        <v>0</v>
      </c>
      <c r="O63" s="196">
        <f>IF(AND(S6="DA",ABS(RDG!J66-RDG!J85)&gt;1),1,0)</f>
        <v>0</v>
      </c>
      <c r="P63" s="195"/>
    </row>
    <row r="64" spans="1:16" ht="30" customHeight="1">
      <c r="A64" s="219">
        <f t="shared" si="10"/>
        <v>52</v>
      </c>
      <c r="B64" s="221" t="str">
        <f t="shared" si="11"/>
        <v>OK</v>
      </c>
      <c r="C64" s="490" t="s">
        <v>439</v>
      </c>
      <c r="D64" s="490"/>
      <c r="E64" s="490"/>
      <c r="F64" s="490"/>
      <c r="G64" s="490"/>
      <c r="H64" s="490"/>
      <c r="I64" s="490"/>
      <c r="J64" s="490"/>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90" t="s">
        <v>440</v>
      </c>
      <c r="D65" s="490"/>
      <c r="E65" s="490"/>
      <c r="F65" s="490"/>
      <c r="G65" s="490"/>
      <c r="H65" s="490"/>
      <c r="I65" s="490"/>
      <c r="J65" s="490"/>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90" t="s">
        <v>1130</v>
      </c>
      <c r="D66" s="490"/>
      <c r="E66" s="490"/>
      <c r="F66" s="490"/>
      <c r="G66" s="490"/>
      <c r="H66" s="490"/>
      <c r="I66" s="490"/>
      <c r="J66" s="490"/>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90" t="s">
        <v>220</v>
      </c>
      <c r="D67" s="490"/>
      <c r="E67" s="490"/>
      <c r="F67" s="490"/>
      <c r="G67" s="490"/>
      <c r="H67" s="490"/>
      <c r="I67" s="490"/>
      <c r="J67" s="490"/>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2895</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90" t="s">
        <v>756</v>
      </c>
      <c r="D69" s="490"/>
      <c r="E69" s="490"/>
      <c r="F69" s="490"/>
      <c r="G69" s="490"/>
      <c r="H69" s="490"/>
      <c r="I69" s="490"/>
      <c r="J69" s="490"/>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90" t="s">
        <v>1460</v>
      </c>
      <c r="D70" s="490"/>
      <c r="E70" s="490"/>
      <c r="F70" s="490"/>
      <c r="G70" s="490"/>
      <c r="H70" s="490"/>
      <c r="I70" s="490"/>
      <c r="J70" s="490"/>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90"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90" t="s">
        <v>818</v>
      </c>
      <c r="D72" s="490"/>
      <c r="E72" s="490"/>
      <c r="F72" s="490"/>
      <c r="G72" s="490"/>
      <c r="H72" s="490"/>
      <c r="I72" s="490"/>
      <c r="J72" s="490"/>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90" t="s">
        <v>331</v>
      </c>
      <c r="D74" s="490"/>
      <c r="E74" s="490"/>
      <c r="F74" s="490"/>
      <c r="G74" s="490"/>
      <c r="H74" s="490"/>
      <c r="I74" s="490"/>
      <c r="J74" s="490"/>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90" t="s">
        <v>115</v>
      </c>
      <c r="D75" s="490"/>
      <c r="E75" s="490"/>
      <c r="F75" s="490"/>
      <c r="G75" s="490"/>
      <c r="H75" s="490"/>
      <c r="I75" s="490"/>
      <c r="J75" s="490"/>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Provjera</v>
      </c>
      <c r="C76" s="490" t="s">
        <v>332</v>
      </c>
      <c r="D76" s="490"/>
      <c r="E76" s="490"/>
      <c r="F76" s="490"/>
      <c r="G76" s="490"/>
      <c r="H76" s="490"/>
      <c r="I76" s="490"/>
      <c r="J76" s="490"/>
      <c r="L76" s="195">
        <f>MAX(N76:R76)</f>
        <v>0</v>
      </c>
      <c r="M76" s="196">
        <f>MAX(S76:W76)</f>
        <v>1</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1</v>
      </c>
      <c r="T76" s="196">
        <f>IF(AND($O$4=1,SUM(Dodatni!J25:J26)+SUM(Dodatni!J28:J30)+SUM(Dodatni!J32:J35)-RDG!J9-RDG!J10-1&gt;0),1,0)</f>
        <v>1</v>
      </c>
    </row>
    <row r="77" spans="1:17" ht="19.5" customHeight="1">
      <c r="A77" s="219">
        <f t="shared" si="13"/>
        <v>64</v>
      </c>
      <c r="B77" s="221" t="str">
        <f t="shared" si="12"/>
        <v>OK</v>
      </c>
      <c r="C77" s="490" t="s">
        <v>116</v>
      </c>
      <c r="D77" s="490"/>
      <c r="E77" s="490"/>
      <c r="F77" s="490"/>
      <c r="G77" s="490"/>
      <c r="H77" s="490"/>
      <c r="I77" s="490"/>
      <c r="J77" s="490"/>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90" t="s">
        <v>117</v>
      </c>
      <c r="D78" s="490"/>
      <c r="E78" s="490"/>
      <c r="F78" s="490"/>
      <c r="G78" s="490"/>
      <c r="H78" s="490"/>
      <c r="I78" s="490"/>
      <c r="J78" s="490"/>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90" t="s">
        <v>118</v>
      </c>
      <c r="D79" s="490"/>
      <c r="E79" s="490"/>
      <c r="F79" s="490"/>
      <c r="G79" s="490"/>
      <c r="H79" s="490"/>
      <c r="I79" s="490"/>
      <c r="J79" s="490"/>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90" t="s">
        <v>119</v>
      </c>
      <c r="D80" s="490"/>
      <c r="E80" s="490"/>
      <c r="F80" s="490"/>
      <c r="G80" s="490"/>
      <c r="H80" s="490"/>
      <c r="I80" s="490"/>
      <c r="J80" s="490"/>
      <c r="L80" s="195">
        <f t="shared" si="14"/>
        <v>0</v>
      </c>
      <c r="M80" s="195"/>
      <c r="N80" s="196">
        <f>IF(Dodatni!I23&gt;RDG!I9,1,0)</f>
        <v>0</v>
      </c>
      <c r="O80" s="196">
        <f>IF(Dodatni!J23&gt;RDG!J9,1,0)</f>
        <v>0</v>
      </c>
      <c r="P80" s="196"/>
      <c r="Q80" s="197"/>
    </row>
    <row r="81" spans="1:17" ht="19.5" customHeight="1">
      <c r="A81" s="219">
        <f t="shared" si="13"/>
        <v>68</v>
      </c>
      <c r="B81" s="221" t="str">
        <f t="shared" si="12"/>
        <v>OK</v>
      </c>
      <c r="C81" s="490" t="s">
        <v>120</v>
      </c>
      <c r="D81" s="490"/>
      <c r="E81" s="490"/>
      <c r="F81" s="490"/>
      <c r="G81" s="490"/>
      <c r="H81" s="490"/>
      <c r="I81" s="490"/>
      <c r="J81" s="490"/>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90" t="s">
        <v>121</v>
      </c>
      <c r="D82" s="490"/>
      <c r="E82" s="490"/>
      <c r="F82" s="490"/>
      <c r="G82" s="490"/>
      <c r="H82" s="490"/>
      <c r="I82" s="490"/>
      <c r="J82" s="490"/>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90" t="s">
        <v>122</v>
      </c>
      <c r="D83" s="490"/>
      <c r="E83" s="490"/>
      <c r="F83" s="490"/>
      <c r="G83" s="490"/>
      <c r="H83" s="490"/>
      <c r="I83" s="490"/>
      <c r="J83" s="490"/>
      <c r="L83" s="195">
        <f t="shared" si="14"/>
        <v>0</v>
      </c>
      <c r="M83" s="195"/>
      <c r="N83" s="196">
        <f>IF(Dodatni!I40&gt;RDG!I11,1,0)</f>
        <v>0</v>
      </c>
      <c r="O83" s="196">
        <f>IF(Dodatni!J40&gt;RDG!J11,1,0)</f>
        <v>0</v>
      </c>
      <c r="P83" s="196"/>
      <c r="Q83" s="197"/>
    </row>
    <row r="84" spans="1:17" ht="19.5" customHeight="1">
      <c r="A84" s="219">
        <f t="shared" si="13"/>
        <v>71</v>
      </c>
      <c r="B84" s="221" t="str">
        <f t="shared" si="12"/>
        <v>OK</v>
      </c>
      <c r="C84" s="490" t="s">
        <v>123</v>
      </c>
      <c r="D84" s="490"/>
      <c r="E84" s="490"/>
      <c r="F84" s="490"/>
      <c r="G84" s="490"/>
      <c r="H84" s="490"/>
      <c r="I84" s="490"/>
      <c r="J84" s="490"/>
      <c r="L84" s="195">
        <f t="shared" si="14"/>
        <v>0</v>
      </c>
      <c r="M84" s="195"/>
      <c r="N84" s="196">
        <f>IF(Dodatni!I42&gt;RDG!I12,1,0)</f>
        <v>0</v>
      </c>
      <c r="O84" s="196">
        <f>IF(Dodatni!J42&gt;RDG!J12,1,0)</f>
        <v>0</v>
      </c>
      <c r="P84" s="196"/>
      <c r="Q84" s="197"/>
    </row>
    <row r="85" spans="1:17" ht="19.5" customHeight="1">
      <c r="A85" s="219">
        <f t="shared" si="13"/>
        <v>72</v>
      </c>
      <c r="B85" s="221" t="str">
        <f t="shared" si="12"/>
        <v>OK</v>
      </c>
      <c r="C85" s="490" t="s">
        <v>175</v>
      </c>
      <c r="D85" s="490"/>
      <c r="E85" s="490"/>
      <c r="F85" s="490"/>
      <c r="G85" s="490"/>
      <c r="H85" s="490"/>
      <c r="I85" s="490"/>
      <c r="J85" s="490"/>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90" t="s">
        <v>124</v>
      </c>
      <c r="D86" s="490"/>
      <c r="E86" s="490"/>
      <c r="F86" s="490"/>
      <c r="G86" s="490"/>
      <c r="H86" s="490"/>
      <c r="I86" s="490"/>
      <c r="J86" s="490"/>
      <c r="L86" s="195">
        <f t="shared" si="14"/>
        <v>0</v>
      </c>
      <c r="M86" s="195"/>
      <c r="N86" s="196">
        <f>IF(Dodatni!I49&gt;RDG!I18,1,0)</f>
        <v>0</v>
      </c>
      <c r="O86" s="196">
        <f>IF(Dodatni!J49&gt;RDG!J18,1,0)</f>
        <v>0</v>
      </c>
      <c r="P86" s="196"/>
      <c r="Q86" s="197"/>
    </row>
    <row r="87" spans="1:17" ht="19.5" customHeight="1">
      <c r="A87" s="219">
        <f t="shared" si="13"/>
        <v>74</v>
      </c>
      <c r="B87" s="221" t="str">
        <f t="shared" si="12"/>
        <v>OK</v>
      </c>
      <c r="C87" s="490" t="s">
        <v>126</v>
      </c>
      <c r="D87" s="490"/>
      <c r="E87" s="490"/>
      <c r="F87" s="490"/>
      <c r="G87" s="490"/>
      <c r="H87" s="490"/>
      <c r="I87" s="490"/>
      <c r="J87" s="490"/>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90" t="s">
        <v>127</v>
      </c>
      <c r="D88" s="490"/>
      <c r="E88" s="490"/>
      <c r="F88" s="490"/>
      <c r="G88" s="490"/>
      <c r="H88" s="490"/>
      <c r="I88" s="490"/>
      <c r="J88" s="490"/>
      <c r="L88" s="195">
        <f t="shared" si="14"/>
        <v>0</v>
      </c>
      <c r="M88" s="195"/>
      <c r="N88" s="195">
        <f>IF(Dodatni!I73&gt;RDG!I37,1,0)</f>
        <v>0</v>
      </c>
      <c r="O88" s="195">
        <f>IF(Dodatni!J73&gt;RDG!J37,1,0)</f>
        <v>0</v>
      </c>
      <c r="P88" s="195"/>
    </row>
    <row r="89" spans="1:16" ht="19.5" customHeight="1">
      <c r="A89" s="219">
        <f>A88+1</f>
        <v>76</v>
      </c>
      <c r="B89" s="221" t="str">
        <f>IF(L89=1,"Pogreška",IF(M89=1,"Provjera","OK"))</f>
        <v>OK</v>
      </c>
      <c r="C89" s="490" t="s">
        <v>128</v>
      </c>
      <c r="D89" s="490"/>
      <c r="E89" s="490"/>
      <c r="F89" s="490"/>
      <c r="G89" s="490"/>
      <c r="H89" s="490"/>
      <c r="I89" s="490"/>
      <c r="J89" s="490"/>
      <c r="L89" s="195">
        <f t="shared" si="14"/>
        <v>0</v>
      </c>
      <c r="M89" s="195"/>
      <c r="N89" s="195">
        <f>IF(Dodatni!I76&gt;RDG!I48,1,0)</f>
        <v>0</v>
      </c>
      <c r="O89" s="195">
        <f>IF(Dodatni!J76&gt;RDG!J48,1,0)</f>
        <v>0</v>
      </c>
      <c r="P89" s="195"/>
    </row>
    <row r="90" spans="1:16" ht="19.5" customHeight="1">
      <c r="A90" s="219">
        <f>A89+1</f>
        <v>77</v>
      </c>
      <c r="B90" s="221" t="str">
        <f>IF(L90=1,"Pogreška",IF(M90=1,"Provjera","OK"))</f>
        <v>OK</v>
      </c>
      <c r="C90" s="490" t="s">
        <v>1652</v>
      </c>
      <c r="D90" s="490"/>
      <c r="E90" s="490"/>
      <c r="F90" s="490"/>
      <c r="G90" s="490"/>
      <c r="H90" s="490"/>
      <c r="I90" s="490"/>
      <c r="J90" s="490"/>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90" t="s">
        <v>2534</v>
      </c>
      <c r="D91" s="490"/>
      <c r="E91" s="490"/>
      <c r="F91" s="490"/>
      <c r="G91" s="490"/>
      <c r="H91" s="490"/>
      <c r="I91" s="490"/>
      <c r="J91" s="490"/>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Provjera</v>
      </c>
      <c r="C92" s="490" t="s">
        <v>2535</v>
      </c>
      <c r="D92" s="490"/>
      <c r="E92" s="490"/>
      <c r="F92" s="490"/>
      <c r="G92" s="490"/>
      <c r="H92" s="490"/>
      <c r="I92" s="490"/>
      <c r="J92" s="490"/>
      <c r="L92" s="195">
        <v>0</v>
      </c>
      <c r="M92" s="195">
        <f>MAX(N92:O92)</f>
        <v>1</v>
      </c>
      <c r="N92" s="195">
        <f>IF(AND(P4&gt;0,O8&lt;&gt;"DA",Dodatni!I51=0),1,0)</f>
        <v>1</v>
      </c>
      <c r="O92" s="195">
        <f>IF(AND(Q4&gt;0,O8&lt;&gt;"DA",Dodatni!J51=0),1,0)</f>
        <v>1</v>
      </c>
      <c r="P92" s="195"/>
    </row>
    <row r="93" spans="1:16" ht="19.5" customHeight="1">
      <c r="A93" s="219">
        <f t="shared" si="13"/>
        <v>80</v>
      </c>
      <c r="B93" s="221" t="str">
        <f aca="true" t="shared" si="15" ref="B93:B98">IF(L93=1,"Pogreška",IF(M93=1,"Provjera","OK"))</f>
        <v>OK</v>
      </c>
      <c r="C93" s="490" t="s">
        <v>2536</v>
      </c>
      <c r="D93" s="490"/>
      <c r="E93" s="490"/>
      <c r="F93" s="490"/>
      <c r="G93" s="490"/>
      <c r="H93" s="490"/>
      <c r="I93" s="490"/>
      <c r="J93" s="490"/>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90" t="s">
        <v>2537</v>
      </c>
      <c r="D94" s="490"/>
      <c r="E94" s="490"/>
      <c r="F94" s="490"/>
      <c r="G94" s="490"/>
      <c r="H94" s="490"/>
      <c r="I94" s="490"/>
      <c r="J94" s="490"/>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90" t="s">
        <v>2538</v>
      </c>
      <c r="D95" s="490"/>
      <c r="E95" s="490"/>
      <c r="F95" s="490"/>
      <c r="G95" s="490"/>
      <c r="H95" s="490"/>
      <c r="I95" s="490"/>
      <c r="J95" s="490"/>
      <c r="L95" s="195">
        <v>0</v>
      </c>
      <c r="M95" s="195">
        <f>MAX(N95:O95)</f>
        <v>0</v>
      </c>
      <c r="N95" s="195">
        <f>IF(Dodatni!I52&gt;RDG!I18,1,0)</f>
        <v>0</v>
      </c>
      <c r="O95" s="195">
        <f>IF(Dodatni!J52&gt;RDG!J18,1,0)</f>
        <v>0</v>
      </c>
      <c r="P95" s="195"/>
    </row>
    <row r="96" spans="1:21" ht="41.25" customHeight="1">
      <c r="A96" s="219">
        <f t="shared" si="13"/>
        <v>83</v>
      </c>
      <c r="B96" s="221" t="str">
        <f t="shared" si="15"/>
        <v>OK</v>
      </c>
      <c r="C96" s="490" t="s">
        <v>757</v>
      </c>
      <c r="D96" s="490"/>
      <c r="E96" s="490"/>
      <c r="F96" s="490"/>
      <c r="G96" s="490"/>
      <c r="H96" s="490"/>
      <c r="I96" s="490"/>
      <c r="J96" s="490"/>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90" t="s">
        <v>2122</v>
      </c>
      <c r="D97" s="490"/>
      <c r="E97" s="490"/>
      <c r="F97" s="490"/>
      <c r="G97" s="490"/>
      <c r="H97" s="490"/>
      <c r="I97" s="490"/>
      <c r="J97" s="490"/>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Provjera</v>
      </c>
      <c r="C98" s="490" t="s">
        <v>758</v>
      </c>
      <c r="D98" s="490"/>
      <c r="E98" s="490"/>
      <c r="F98" s="490"/>
      <c r="G98" s="490"/>
      <c r="H98" s="490"/>
      <c r="I98" s="490"/>
      <c r="J98" s="490"/>
      <c r="L98" s="195">
        <v>0</v>
      </c>
      <c r="M98" s="195">
        <f t="shared" si="16"/>
        <v>1</v>
      </c>
      <c r="N98" s="195">
        <f>IF(AND($O$8&lt;&gt;"DA",P4&gt;0,Dodatni!I62=0),1,0)</f>
        <v>1</v>
      </c>
      <c r="O98" s="195">
        <f>IF(AND($O$8&lt;&gt;"DA",Q4&gt;0,Dodatni!J62=0),1,0)</f>
        <v>0</v>
      </c>
      <c r="P98" s="195"/>
    </row>
    <row r="99" spans="1:16" ht="30" customHeight="1">
      <c r="A99" s="219">
        <f t="shared" si="13"/>
        <v>86</v>
      </c>
      <c r="B99" s="221" t="str">
        <f aca="true" t="shared" si="17" ref="B99:B106">IF(L99=1,"Pogreška",IF(M99=1,"Provjera","OK"))</f>
        <v>OK</v>
      </c>
      <c r="C99" s="490" t="s">
        <v>2124</v>
      </c>
      <c r="D99" s="490"/>
      <c r="E99" s="490"/>
      <c r="F99" s="490"/>
      <c r="G99" s="490"/>
      <c r="H99" s="490"/>
      <c r="I99" s="490"/>
      <c r="J99" s="490"/>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90" t="s">
        <v>2125</v>
      </c>
      <c r="D100" s="490"/>
      <c r="E100" s="490"/>
      <c r="F100" s="490"/>
      <c r="G100" s="490"/>
      <c r="H100" s="490"/>
      <c r="I100" s="490"/>
      <c r="J100" s="490"/>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90" t="s">
        <v>2126</v>
      </c>
      <c r="D101" s="490"/>
      <c r="E101" s="490"/>
      <c r="F101" s="490"/>
      <c r="G101" s="490"/>
      <c r="H101" s="490"/>
      <c r="I101" s="490"/>
      <c r="J101" s="490"/>
      <c r="L101" s="195">
        <v>0</v>
      </c>
      <c r="M101" s="195">
        <f t="shared" si="16"/>
        <v>0</v>
      </c>
      <c r="N101" s="195">
        <f>IF(AND(OR(S7=2,S7=3,S7=5,S7=6,S7=7),MIN(RDG!I9:J9,RDG!I12:J12)=0),1,0)</f>
        <v>0</v>
      </c>
      <c r="O101" s="195"/>
      <c r="P101" s="195"/>
    </row>
    <row r="102" spans="1:23" ht="30" customHeight="1">
      <c r="A102" s="219">
        <f t="shared" si="13"/>
        <v>89</v>
      </c>
      <c r="B102" s="221" t="str">
        <f t="shared" si="17"/>
        <v>OK</v>
      </c>
      <c r="C102" s="490" t="s">
        <v>821</v>
      </c>
      <c r="D102" s="490"/>
      <c r="E102" s="490"/>
      <c r="F102" s="490"/>
      <c r="G102" s="490"/>
      <c r="H102" s="490"/>
      <c r="I102" s="490"/>
      <c r="J102" s="490"/>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90" t="s">
        <v>822</v>
      </c>
      <c r="D103" s="490"/>
      <c r="E103" s="490"/>
      <c r="F103" s="490"/>
      <c r="G103" s="490"/>
      <c r="H103" s="490"/>
      <c r="I103" s="490"/>
      <c r="J103" s="490"/>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90" t="s">
        <v>819</v>
      </c>
      <c r="D104" s="490"/>
      <c r="E104" s="490"/>
      <c r="F104" s="490"/>
      <c r="G104" s="490"/>
      <c r="H104" s="490"/>
      <c r="I104" s="490"/>
      <c r="J104" s="490"/>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90" t="s">
        <v>820</v>
      </c>
      <c r="D105" s="490"/>
      <c r="E105" s="490"/>
      <c r="F105" s="490"/>
      <c r="G105" s="490"/>
      <c r="H105" s="490"/>
      <c r="I105" s="490"/>
      <c r="J105" s="490"/>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90" t="s">
        <v>1131</v>
      </c>
      <c r="D106" s="490"/>
      <c r="E106" s="490"/>
      <c r="F106" s="490"/>
      <c r="G106" s="490"/>
      <c r="H106" s="490"/>
      <c r="I106" s="490"/>
      <c r="J106" s="490"/>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90" t="s">
        <v>1032</v>
      </c>
      <c r="D108" s="490"/>
      <c r="E108" s="490"/>
      <c r="F108" s="490"/>
      <c r="G108" s="490"/>
      <c r="H108" s="490"/>
      <c r="I108" s="490"/>
      <c r="J108" s="490"/>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90" t="s">
        <v>2906</v>
      </c>
      <c r="D109" s="490"/>
      <c r="E109" s="490"/>
      <c r="F109" s="490"/>
      <c r="G109" s="490"/>
      <c r="H109" s="490"/>
      <c r="I109" s="490"/>
      <c r="J109" s="490"/>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90" t="s">
        <v>2012</v>
      </c>
      <c r="D110" s="490"/>
      <c r="E110" s="490"/>
      <c r="F110" s="490"/>
      <c r="G110" s="490"/>
      <c r="H110" s="490"/>
      <c r="I110" s="490"/>
      <c r="J110" s="490"/>
      <c r="L110" s="195">
        <f>MAX(N110:O110)</f>
        <v>0</v>
      </c>
      <c r="M110" s="195"/>
      <c r="N110" s="195">
        <f>IF(AND(S5=1,AA8&lt;&gt;"NE"),1,0)</f>
        <v>0</v>
      </c>
      <c r="O110" s="195">
        <f>IF(AND(S5&gt;1,AA8&lt;&gt;"DA"),1,0)</f>
        <v>0</v>
      </c>
    </row>
    <row r="111" spans="1:19" ht="64.5" customHeight="1">
      <c r="A111" s="219">
        <f t="shared" si="19"/>
        <v>97</v>
      </c>
      <c r="B111" s="221" t="str">
        <f t="shared" si="18"/>
        <v>OK</v>
      </c>
      <c r="C111" s="490" t="s">
        <v>2013</v>
      </c>
      <c r="D111" s="490"/>
      <c r="E111" s="490"/>
      <c r="F111" s="490"/>
      <c r="G111" s="490"/>
      <c r="H111" s="490"/>
      <c r="I111" s="490"/>
      <c r="J111" s="490"/>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90" t="s">
        <v>2014</v>
      </c>
      <c r="D112" s="490"/>
      <c r="E112" s="490"/>
      <c r="F112" s="490"/>
      <c r="G112" s="490"/>
      <c r="H112" s="490"/>
      <c r="I112" s="490"/>
      <c r="J112" s="490"/>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90" t="s">
        <v>2015</v>
      </c>
      <c r="D113" s="490"/>
      <c r="E113" s="490"/>
      <c r="F113" s="490"/>
      <c r="G113" s="490"/>
      <c r="H113" s="490"/>
      <c r="I113" s="490"/>
      <c r="J113" s="490"/>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90" t="s">
        <v>2907</v>
      </c>
      <c r="D114" s="490"/>
      <c r="E114" s="490"/>
      <c r="F114" s="490"/>
      <c r="G114" s="490"/>
      <c r="H114" s="490"/>
      <c r="I114" s="490"/>
      <c r="J114" s="490"/>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90" t="s">
        <v>2243</v>
      </c>
      <c r="D115" s="490"/>
      <c r="E115" s="490"/>
      <c r="F115" s="490"/>
      <c r="G115" s="490"/>
      <c r="H115" s="490"/>
      <c r="I115" s="490"/>
      <c r="J115" s="490"/>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90" t="s">
        <v>534</v>
      </c>
      <c r="D116" s="490"/>
      <c r="E116" s="490"/>
      <c r="F116" s="490"/>
      <c r="G116" s="490"/>
      <c r="H116" s="490"/>
      <c r="I116" s="490"/>
      <c r="J116" s="490"/>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90" t="s">
        <v>1451</v>
      </c>
      <c r="D117" s="490"/>
      <c r="E117" s="490"/>
      <c r="F117" s="490"/>
      <c r="G117" s="490"/>
      <c r="H117" s="490"/>
      <c r="I117" s="490"/>
      <c r="J117" s="490"/>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90" t="s">
        <v>0</v>
      </c>
      <c r="D118" s="490"/>
      <c r="E118" s="490"/>
      <c r="F118" s="490"/>
      <c r="G118" s="490"/>
      <c r="H118" s="490"/>
      <c r="I118" s="490"/>
      <c r="J118" s="490"/>
      <c r="L118" s="200">
        <f>MAX(N118:N118)</f>
        <v>0</v>
      </c>
      <c r="M118" s="200"/>
      <c r="N118" s="200">
        <f>IF(ISERROR(P118),0,1)</f>
        <v>0</v>
      </c>
      <c r="O118" s="195" t="str">
        <f ca="1">CELL("filename")</f>
        <v>C:\Users\Ekasa\Documents\ZAVRŠNI RAČUNI VODOOPSKRBA\Završni račun 2017\[GFI-POD 3.0.4..xls]RDG</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90" t="s">
        <v>1128</v>
      </c>
      <c r="D119" s="490"/>
      <c r="E119" s="490"/>
      <c r="F119" s="490"/>
      <c r="G119" s="490"/>
      <c r="H119" s="490"/>
      <c r="I119" s="490"/>
      <c r="J119" s="490"/>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90" t="s">
        <v>1452</v>
      </c>
      <c r="D120" s="490"/>
      <c r="E120" s="490"/>
      <c r="F120" s="490"/>
      <c r="G120" s="490"/>
      <c r="H120" s="490"/>
      <c r="I120" s="490"/>
      <c r="J120" s="490"/>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13:J13"/>
    <mergeCell ref="C18:J18"/>
    <mergeCell ref="C16:J16"/>
    <mergeCell ref="C17:J17"/>
    <mergeCell ref="C15:J15"/>
    <mergeCell ref="C19:J19"/>
    <mergeCell ref="C14:J14"/>
    <mergeCell ref="C21:J21"/>
    <mergeCell ref="C22:J2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13:J113"/>
    <mergeCell ref="C114:J114"/>
    <mergeCell ref="C39:J39"/>
    <mergeCell ref="C41:J41"/>
    <mergeCell ref="C106:J106"/>
    <mergeCell ref="C115:J115"/>
    <mergeCell ref="C64:J64"/>
    <mergeCell ref="C65:J65"/>
    <mergeCell ref="C99:J99"/>
    <mergeCell ref="C81:J81"/>
    <mergeCell ref="C120:J120"/>
    <mergeCell ref="C119:J119"/>
    <mergeCell ref="C118:J118"/>
    <mergeCell ref="C108:J108"/>
    <mergeCell ref="A107:J107"/>
    <mergeCell ref="C110:J110"/>
    <mergeCell ref="C111:J111"/>
    <mergeCell ref="C112:J112"/>
    <mergeCell ref="C117:J117"/>
    <mergeCell ref="C116:J116"/>
    <mergeCell ref="C45:J45"/>
    <mergeCell ref="C50:J50"/>
    <mergeCell ref="C79:J79"/>
    <mergeCell ref="C95:J95"/>
    <mergeCell ref="C96:J96"/>
    <mergeCell ref="C49:J49"/>
    <mergeCell ref="C72:J72"/>
    <mergeCell ref="C88:J88"/>
    <mergeCell ref="C82:J82"/>
    <mergeCell ref="C86:J86"/>
    <mergeCell ref="C57:J57"/>
    <mergeCell ref="C74:J74"/>
    <mergeCell ref="C101:J101"/>
    <mergeCell ref="C62:J62"/>
    <mergeCell ref="C71:J71"/>
    <mergeCell ref="C97:J97"/>
    <mergeCell ref="C84:J84"/>
    <mergeCell ref="C87:J87"/>
    <mergeCell ref="C83:J83"/>
    <mergeCell ref="C85:J85"/>
    <mergeCell ref="C104:J104"/>
    <mergeCell ref="C103:J103"/>
    <mergeCell ref="C76:J76"/>
    <mergeCell ref="C90:J90"/>
    <mergeCell ref="C89:J89"/>
    <mergeCell ref="C75:J75"/>
    <mergeCell ref="C100:J100"/>
    <mergeCell ref="C80:J80"/>
    <mergeCell ref="C78:J78"/>
    <mergeCell ref="C77:J77"/>
    <mergeCell ref="C66:J66"/>
    <mergeCell ref="C68:J68"/>
    <mergeCell ref="C70:J70"/>
    <mergeCell ref="C67:J67"/>
    <mergeCell ref="C69:J69"/>
    <mergeCell ref="A73:J73"/>
    <mergeCell ref="C109:J109"/>
    <mergeCell ref="C56:J56"/>
    <mergeCell ref="C98:J98"/>
    <mergeCell ref="C91:J91"/>
    <mergeCell ref="C92:J92"/>
    <mergeCell ref="C93:J93"/>
    <mergeCell ref="C94:J94"/>
    <mergeCell ref="C102:J102"/>
    <mergeCell ref="C105:J105"/>
    <mergeCell ref="C59:J59"/>
    <mergeCell ref="A3:H8"/>
    <mergeCell ref="I8:J8"/>
    <mergeCell ref="I3:J3"/>
    <mergeCell ref="I5:J5"/>
    <mergeCell ref="I6:J6"/>
    <mergeCell ref="C9:J10"/>
    <mergeCell ref="A9:B10"/>
    <mergeCell ref="C63:J63"/>
    <mergeCell ref="C44:J44"/>
    <mergeCell ref="C58:J58"/>
    <mergeCell ref="C40:J40"/>
    <mergeCell ref="C52:J52"/>
    <mergeCell ref="C53:J53"/>
    <mergeCell ref="C43:J43"/>
    <mergeCell ref="A42:J42"/>
    <mergeCell ref="C48:J48"/>
    <mergeCell ref="C51:J51"/>
    <mergeCell ref="A11:J11"/>
    <mergeCell ref="C54:J54"/>
    <mergeCell ref="C55:J55"/>
    <mergeCell ref="C60:J60"/>
    <mergeCell ref="C61:J61"/>
    <mergeCell ref="C20:J20"/>
    <mergeCell ref="C38:J38"/>
    <mergeCell ref="C12:J12"/>
    <mergeCell ref="C46:J46"/>
    <mergeCell ref="C47:J47"/>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26" activePane="bottomLeft" state="frozen"/>
      <selection pane="topLeft" activeCell="A1" sqref="A1"/>
      <selection pane="bottomLeft" activeCell="D1" sqref="D1"/>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2017</v>
      </c>
    </row>
    <row r="2" spans="1:17" s="148" customFormat="1" ht="60" customHeight="1">
      <c r="A2" s="292" t="s">
        <v>1057</v>
      </c>
      <c r="B2" s="293"/>
      <c r="C2" s="293"/>
      <c r="D2" s="293"/>
      <c r="E2" s="293"/>
      <c r="F2" s="293"/>
      <c r="G2" s="293"/>
      <c r="H2" s="293"/>
      <c r="I2" s="293"/>
      <c r="J2" s="293"/>
      <c r="K2" s="293"/>
      <c r="L2" s="293"/>
      <c r="M2" s="293"/>
      <c r="N2" s="294"/>
      <c r="O2" s="3"/>
      <c r="P2" s="54"/>
      <c r="Q2" s="53">
        <f>IF(F4&lt;&gt;"",YEAR(F4),"")</f>
        <v>2017</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42736</v>
      </c>
      <c r="D4" s="288"/>
      <c r="E4" s="10" t="s">
        <v>1527</v>
      </c>
      <c r="F4" s="287">
        <v>43100</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295" t="s">
        <v>1526</v>
      </c>
      <c r="B7" s="296"/>
      <c r="C7" s="15">
        <v>5</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21.67</v>
      </c>
    </row>
    <row r="10" spans="1:17" ht="23.25" customHeight="1" thickBot="1">
      <c r="A10" s="301" t="s">
        <v>2175</v>
      </c>
      <c r="B10" s="302"/>
      <c r="C10" s="161"/>
      <c r="D10" s="161"/>
      <c r="E10" s="157"/>
      <c r="F10" s="158"/>
      <c r="G10" s="159"/>
      <c r="H10" s="156"/>
      <c r="I10" s="156"/>
      <c r="J10" s="156"/>
      <c r="K10" s="289" t="s">
        <v>1971</v>
      </c>
      <c r="L10" s="290"/>
      <c r="M10" s="290"/>
      <c r="N10" s="291"/>
      <c r="P10" s="54" t="s">
        <v>1815</v>
      </c>
      <c r="Q10" s="55">
        <f>IF(F4&lt;&gt;"",YEAR(F4)/100+MONTH(F4)/2+DAY(F4),0)</f>
        <v>57.17</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2728</v>
      </c>
      <c r="F12" s="329">
        <v>2017</v>
      </c>
      <c r="G12" s="330"/>
      <c r="H12" s="322" t="s">
        <v>2105</v>
      </c>
      <c r="I12" s="323"/>
      <c r="J12" s="323"/>
      <c r="K12" s="156"/>
      <c r="L12" s="156"/>
      <c r="M12" s="156"/>
      <c r="N12" s="156"/>
      <c r="P12" s="54" t="s">
        <v>2353</v>
      </c>
      <c r="Q12" s="55">
        <f>INT(VALUE(H27))/10</f>
        <v>271924</v>
      </c>
    </row>
    <row r="13" spans="4:17" ht="9.75" customHeight="1">
      <c r="D13" s="156"/>
      <c r="E13" s="162"/>
      <c r="H13" s="27"/>
      <c r="I13" s="163"/>
      <c r="J13" s="163"/>
      <c r="K13" s="156"/>
      <c r="L13" s="156"/>
      <c r="M13" s="156"/>
      <c r="N13" s="156"/>
      <c r="P13" s="54" t="s">
        <v>2353</v>
      </c>
      <c r="Q13" s="55">
        <f>INT(VALUE(M27))/50</f>
        <v>1615016.4</v>
      </c>
    </row>
    <row r="14" spans="1:17" ht="15">
      <c r="A14" s="321" t="s">
        <v>2714</v>
      </c>
      <c r="B14" s="321"/>
      <c r="C14" s="321"/>
      <c r="D14" s="164"/>
      <c r="E14" s="165"/>
      <c r="F14" s="319"/>
      <c r="G14" s="320"/>
      <c r="H14" s="320"/>
      <c r="I14" s="156"/>
      <c r="J14" s="327" t="s">
        <v>2100</v>
      </c>
      <c r="K14" s="328"/>
      <c r="L14" s="328"/>
      <c r="M14" s="328"/>
      <c r="N14" s="328"/>
      <c r="P14" s="54" t="s">
        <v>2718</v>
      </c>
      <c r="Q14" s="55">
        <f>INT(VALUE(C27))/100</f>
        <v>362979459.4</v>
      </c>
    </row>
    <row r="15" spans="1:17" ht="19.5" customHeight="1">
      <c r="A15" s="324">
        <f>Skriveni!B59</f>
        <v>688940997.5299999</v>
      </c>
      <c r="B15" s="325"/>
      <c r="C15" s="326"/>
      <c r="D15" s="60"/>
      <c r="E15" s="60"/>
      <c r="F15" s="60"/>
      <c r="G15" s="60"/>
      <c r="H15" s="60"/>
      <c r="I15" s="60"/>
      <c r="J15" s="60"/>
      <c r="K15" s="60"/>
      <c r="L15" s="60"/>
      <c r="M15" s="60"/>
      <c r="N15" s="60"/>
      <c r="P15" s="54" t="s">
        <v>1817</v>
      </c>
      <c r="Q15" s="55">
        <f>LEN(Skriveni!B9)</f>
        <v>50</v>
      </c>
    </row>
    <row r="16" spans="4:17" ht="12.75" customHeight="1">
      <c r="D16" s="60"/>
      <c r="E16" s="60"/>
      <c r="F16" s="60"/>
      <c r="G16" s="60"/>
      <c r="H16" s="60"/>
      <c r="I16" s="60"/>
      <c r="P16" s="54" t="s">
        <v>1818</v>
      </c>
      <c r="Q16" s="55">
        <f>INT(VALUE(C31))/100</f>
        <v>444.5</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15</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2716</v>
      </c>
      <c r="B19" s="283"/>
      <c r="C19" s="36">
        <v>3</v>
      </c>
      <c r="D19" s="371"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372"/>
      <c r="F19" s="372"/>
      <c r="G19" s="372"/>
      <c r="H19" s="372"/>
      <c r="I19" s="347" t="s">
        <v>1729</v>
      </c>
      <c r="J19" s="373"/>
      <c r="K19" s="373"/>
      <c r="L19" s="373"/>
      <c r="M19" s="373"/>
      <c r="N19" s="36" t="s">
        <v>2139</v>
      </c>
      <c r="P19" s="54" t="s">
        <v>1820</v>
      </c>
      <c r="Q19" s="55">
        <f>LEN(Skriveni!B12)</f>
        <v>17</v>
      </c>
    </row>
    <row r="20" spans="1:17" ht="4.5" customHeight="1">
      <c r="A20" s="13"/>
      <c r="B20" s="47"/>
      <c r="C20" s="34"/>
      <c r="I20" s="34"/>
      <c r="M20" s="146"/>
      <c r="N20" s="166"/>
      <c r="Q20" s="55"/>
    </row>
    <row r="21" spans="1:17" ht="15" customHeight="1">
      <c r="A21" s="272" t="s">
        <v>2108</v>
      </c>
      <c r="B21" s="280"/>
      <c r="C21" s="36" t="s">
        <v>2619</v>
      </c>
      <c r="D21" s="193" t="s">
        <v>2111</v>
      </c>
      <c r="E21" s="282" t="s">
        <v>2109</v>
      </c>
      <c r="F21" s="298"/>
      <c r="G21" s="298"/>
      <c r="H21" s="333"/>
      <c r="I21" s="36" t="s">
        <v>2619</v>
      </c>
      <c r="J21" s="374" t="s">
        <v>2110</v>
      </c>
      <c r="K21" s="373"/>
      <c r="L21" s="274"/>
      <c r="M21" s="342"/>
      <c r="N21" s="277"/>
      <c r="P21" s="54" t="s">
        <v>1821</v>
      </c>
      <c r="Q21" s="55">
        <f>INT(VALUE(C39))</f>
        <v>149</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2917</v>
      </c>
      <c r="Q23" s="55">
        <f>INT(VALUE(C42))</f>
        <v>3600</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2953</v>
      </c>
      <c r="D27" s="276"/>
      <c r="E27" s="277"/>
      <c r="F27" s="279" t="s">
        <v>2406</v>
      </c>
      <c r="G27" s="343"/>
      <c r="H27" s="274" t="s">
        <v>2954</v>
      </c>
      <c r="I27" s="275"/>
      <c r="J27" s="279" t="s">
        <v>2099</v>
      </c>
      <c r="K27" s="280"/>
      <c r="L27" s="344"/>
      <c r="M27" s="274" t="s">
        <v>2955</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2715</v>
      </c>
      <c r="B29" s="283"/>
      <c r="C29" s="316" t="s">
        <v>2956</v>
      </c>
      <c r="D29" s="345"/>
      <c r="E29" s="345"/>
      <c r="F29" s="345"/>
      <c r="G29" s="345"/>
      <c r="H29" s="345"/>
      <c r="I29" s="345"/>
      <c r="J29" s="345"/>
      <c r="K29" s="345"/>
      <c r="L29" s="346"/>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44450</v>
      </c>
      <c r="D31" s="335" t="s">
        <v>693</v>
      </c>
      <c r="E31" s="336"/>
      <c r="F31" s="316" t="s">
        <v>2721</v>
      </c>
      <c r="G31" s="337"/>
      <c r="H31" s="337"/>
      <c r="I31" s="337"/>
      <c r="J31" s="337"/>
      <c r="K31" s="337"/>
      <c r="L31" s="338"/>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2957</v>
      </c>
      <c r="D33" s="345"/>
      <c r="E33" s="345"/>
      <c r="F33" s="345"/>
      <c r="G33" s="345"/>
      <c r="H33" s="345"/>
      <c r="I33" s="345"/>
      <c r="J33" s="345"/>
      <c r="K33" s="345"/>
      <c r="L33" s="346"/>
      <c r="M33" s="60"/>
      <c r="N33" s="60"/>
      <c r="P33" s="54" t="s">
        <v>1824</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2958</v>
      </c>
      <c r="D35" s="340"/>
      <c r="E35" s="340"/>
      <c r="F35" s="340"/>
      <c r="G35" s="340"/>
      <c r="H35" s="340"/>
      <c r="I35" s="341"/>
      <c r="J35" s="283" t="s">
        <v>188</v>
      </c>
      <c r="K35" s="347"/>
      <c r="L35" s="274" t="s">
        <v>2959</v>
      </c>
      <c r="M35" s="342"/>
      <c r="N35" s="277"/>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149</v>
      </c>
      <c r="D39" s="348" t="str">
        <f>IF(C39="","Šifra grada/općine nije upisana",IF(ISNA(LOOKUP(C39,A177:A732,A177:A732)),"Šifra grada/općine ne postoji",IF(LOOKUP(C39,A177:A732,A177:A732)&lt;&gt;C39,"Šifra grada/općine ne postoji",LOOKUP(C39,A177:A732,B177:B732))))</f>
        <v>Hrvatska Dubica</v>
      </c>
      <c r="E39" s="349"/>
      <c r="F39" s="349"/>
      <c r="G39" s="349"/>
      <c r="H39" s="272" t="s">
        <v>2222</v>
      </c>
      <c r="I39" s="344"/>
      <c r="J39" s="58">
        <f>IF(C39&gt;0,LOOKUP(C39,A177:A732,C177:C732),"")</f>
        <v>3</v>
      </c>
      <c r="K39" s="351" t="str">
        <f>IF(J39="","Treba prvo upisati šifru grada/općine",LOOKUP(J39,A153:A173,B153:B173))</f>
        <v>SISAČKO-MOSLAVAČKA</v>
      </c>
      <c r="L39" s="351"/>
      <c r="M39" s="351"/>
      <c r="N39" s="351"/>
      <c r="P39" s="54" t="s">
        <v>1826</v>
      </c>
      <c r="Q39" s="55">
        <f>C56+2*F56+3*C58+4*F58</f>
        <v>30</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2369</v>
      </c>
      <c r="B42" s="283"/>
      <c r="C42" s="41" t="s">
        <v>2046</v>
      </c>
      <c r="D42" s="353" t="str">
        <f>IF(C42="","Šifra NKD-a nije upisana",IF(ISNA(LOOKUP(C42,A736:A1351,A736:A1351)),"Šifra NKD-a ne postoji",IF(LOOKUP(C42,A736:A1351,A736:A1351)&lt;&gt;C42,"Šifra NKD-a ne postoji",LOOKUP(C42,A736:A1351,B736:B1351))))</f>
        <v>Skupljanje, pročišćavanje i opskrba vo...</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530</v>
      </c>
      <c r="Q44" s="55">
        <f>LEN(Skriveni!B43)</f>
        <v>14</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c r="N46" s="364"/>
      <c r="P46" s="56" t="s">
        <v>1828</v>
      </c>
      <c r="Q46" s="57">
        <f>INT(VALUE(L21))/100</f>
        <v>0</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2717</v>
      </c>
      <c r="B50" s="283"/>
      <c r="C50" s="43">
        <v>1</v>
      </c>
      <c r="D50" s="379" t="str">
        <f>IF(C50="","Oznaka veličine nije upisana",IF(ISNA(LOOKUP(C50,A124:A127,A124:A127)),"Nepostojeća oznaka veličine",IF(LOOKUP(C50,A124:A127,A124:A127)&lt;&gt;C50,"Nepostojeća oznaka veličine",LOOKUP(C50,A124:A127,B124:B127))))</f>
        <v>Mikro poduzetnik</v>
      </c>
      <c r="E50" s="300"/>
      <c r="F50" s="300"/>
      <c r="G50" s="300"/>
      <c r="H50" s="300"/>
      <c r="I50" s="377" t="s">
        <v>2576</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242</v>
      </c>
      <c r="K52" s="312"/>
      <c r="L52" s="312"/>
      <c r="M52" s="312"/>
      <c r="N52" s="312"/>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DA</v>
      </c>
      <c r="J54" s="350" t="s">
        <v>567</v>
      </c>
      <c r="K54" s="312"/>
      <c r="L54" s="312"/>
      <c r="M54" s="312"/>
      <c r="N54" s="312"/>
      <c r="O54" s="186"/>
      <c r="P54" s="54" t="s">
        <v>2569</v>
      </c>
      <c r="Q54" s="54">
        <f>C44/10</f>
        <v>0.1</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3</v>
      </c>
      <c r="D56" s="270" t="s">
        <v>2898</v>
      </c>
      <c r="E56" s="380"/>
      <c r="F56" s="44">
        <v>3</v>
      </c>
      <c r="G56" s="270" t="s">
        <v>2899</v>
      </c>
      <c r="H56" s="271"/>
      <c r="I56" s="226" t="s">
        <v>2138</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2226</v>
      </c>
      <c r="B58" s="269"/>
      <c r="C58" s="44">
        <v>3</v>
      </c>
      <c r="D58" s="278" t="s">
        <v>2898</v>
      </c>
      <c r="E58" s="278"/>
      <c r="F58" s="44">
        <v>3</v>
      </c>
      <c r="G58" s="278" t="s">
        <v>2899</v>
      </c>
      <c r="H58" s="278"/>
      <c r="I58" s="5" t="str">
        <f>IF(OR(NT_I!Q1&lt;&gt;0,NT_D!Q1&lt;&gt;0),"DA","NE")</f>
        <v>NE</v>
      </c>
      <c r="J58" s="350"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2898</v>
      </c>
      <c r="E60" s="278"/>
      <c r="F60" s="44">
        <v>12</v>
      </c>
      <c r="G60" s="278" t="s">
        <v>2899</v>
      </c>
      <c r="H60" s="278"/>
      <c r="I60" s="227" t="str">
        <f>IF(PK!AA1=1,"DA","NE")</f>
        <v>NE</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58" t="s">
        <v>2719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59" t="s">
        <v>2116</v>
      </c>
      <c r="D64" s="298"/>
      <c r="E64" s="298"/>
      <c r="F64" s="298"/>
      <c r="G64" s="156"/>
      <c r="H64" s="156"/>
      <c r="I64" s="226" t="s">
        <v>2619</v>
      </c>
      <c r="J64" s="358" t="s">
        <v>2720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2225</v>
      </c>
      <c r="B66" s="360"/>
      <c r="C66" s="285"/>
      <c r="D66" s="285"/>
      <c r="E66" s="285"/>
      <c r="F66" s="285"/>
      <c r="G66" s="286"/>
      <c r="H66" s="191"/>
      <c r="I66" s="226" t="s">
        <v>2138</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2960</v>
      </c>
      <c r="D68" s="314"/>
      <c r="E68" s="314"/>
      <c r="F68" s="314"/>
      <c r="G68" s="315"/>
      <c r="H68" s="191"/>
      <c r="I68" s="226" t="s">
        <v>2138</v>
      </c>
      <c r="J68" s="312" t="s">
        <v>2575</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2959</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2958</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2961</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35" activePane="bottomLeft" state="frozen"/>
      <selection pane="topLeft" activeCell="A1" sqref="A1"/>
      <selection pane="bottomLeft" activeCell="F1" sqref="F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0" t="s">
        <v>138</v>
      </c>
      <c r="B2" s="391"/>
      <c r="C2" s="391"/>
      <c r="D2" s="391"/>
      <c r="E2" s="391"/>
      <c r="F2" s="391"/>
      <c r="G2" s="391"/>
      <c r="H2" s="391"/>
      <c r="I2" s="392"/>
      <c r="J2" s="388" t="s">
        <v>2590</v>
      </c>
      <c r="Q2" s="74">
        <f>IF(OR(MIN(I9:I133)&lt;0,MAX(I9:I133)&gt;0),1,0)</f>
        <v>1</v>
      </c>
      <c r="R2" s="73" t="s">
        <v>2586</v>
      </c>
    </row>
    <row r="3" spans="1:18" ht="19.5" customHeight="1" thickBot="1">
      <c r="A3" s="393" t="str">
        <f>"stanje na dan "&amp;IF(RefStr!F4&lt;&gt;"",TEXT(RefStr!F4,"DD.MM.YYYY."),"__.__.____.")</f>
        <v>stanje na dan 31.12.2017.</v>
      </c>
      <c r="B3" s="394"/>
      <c r="C3" s="394"/>
      <c r="D3" s="394"/>
      <c r="E3" s="394"/>
      <c r="F3" s="394"/>
      <c r="G3" s="394"/>
      <c r="H3" s="394"/>
      <c r="I3" s="395"/>
      <c r="J3" s="389"/>
      <c r="Q3" s="74">
        <f>IF(OR(MIN(J9:J133)&lt;0,MAX(J9:J133)&gt;0),1,0)</f>
        <v>1</v>
      </c>
      <c r="R3" s="73" t="s">
        <v>2587</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36297945940; VODOOPSKRBA d.o.o. za javnu vodoopskrbu i odvodnju</v>
      </c>
      <c r="B5" s="397"/>
      <c r="C5" s="397"/>
      <c r="D5" s="397"/>
      <c r="E5" s="397"/>
      <c r="F5" s="397"/>
      <c r="G5" s="397"/>
      <c r="H5" s="397"/>
      <c r="I5" s="397"/>
      <c r="J5" s="398"/>
      <c r="Q5" s="2">
        <f>IF(I96&lt;&gt;0,1,0)</f>
        <v>0</v>
      </c>
      <c r="R5" s="73" t="s">
        <v>2588</v>
      </c>
    </row>
    <row r="6" spans="1:18" ht="24.75" customHeight="1" thickBot="1">
      <c r="A6" s="399" t="s">
        <v>719</v>
      </c>
      <c r="B6" s="400"/>
      <c r="C6" s="400"/>
      <c r="D6" s="400"/>
      <c r="E6" s="400"/>
      <c r="F6" s="400"/>
      <c r="G6" s="102" t="s">
        <v>799</v>
      </c>
      <c r="H6" s="102" t="s">
        <v>1968</v>
      </c>
      <c r="I6" s="102" t="s">
        <v>2292</v>
      </c>
      <c r="J6" s="103" t="s">
        <v>2293</v>
      </c>
      <c r="Q6" s="2">
        <f>IF(J96&lt;&gt;0,1,0)</f>
        <v>0</v>
      </c>
      <c r="R6" s="73" t="s">
        <v>2589</v>
      </c>
    </row>
    <row r="7" spans="1:10" ht="13.5" customHeight="1">
      <c r="A7" s="401">
        <v>1</v>
      </c>
      <c r="B7" s="402"/>
      <c r="C7" s="402"/>
      <c r="D7" s="402"/>
      <c r="E7" s="402"/>
      <c r="F7" s="402"/>
      <c r="G7" s="105">
        <v>2</v>
      </c>
      <c r="H7" s="105">
        <v>3</v>
      </c>
      <c r="I7" s="104">
        <v>4</v>
      </c>
      <c r="J7" s="106">
        <v>5</v>
      </c>
    </row>
    <row r="8" spans="1:10" ht="13.5" customHeight="1">
      <c r="A8" s="385" t="s">
        <v>721</v>
      </c>
      <c r="B8" s="387"/>
      <c r="C8" s="387"/>
      <c r="D8" s="387"/>
      <c r="E8" s="387"/>
      <c r="F8" s="387"/>
      <c r="G8" s="387"/>
      <c r="H8" s="387"/>
      <c r="I8" s="387"/>
      <c r="J8" s="387"/>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27127482</v>
      </c>
      <c r="J10" s="70">
        <f>J11+J18+J28+J39+J44</f>
        <v>26403130</v>
      </c>
    </row>
    <row r="11" spans="1:10" ht="13.5" customHeight="1">
      <c r="A11" s="384" t="s">
        <v>1850</v>
      </c>
      <c r="B11" s="384"/>
      <c r="C11" s="384"/>
      <c r="D11" s="384"/>
      <c r="E11" s="384"/>
      <c r="F11" s="384"/>
      <c r="G11" s="19">
        <v>3</v>
      </c>
      <c r="H11" s="20"/>
      <c r="I11" s="70">
        <f>SUM(I12:I17)</f>
        <v>3500</v>
      </c>
      <c r="J11" s="70">
        <f>SUM(J12:J17)</f>
        <v>2000</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c r="I13" s="71">
        <v>3500</v>
      </c>
      <c r="J13" s="71">
        <v>2000</v>
      </c>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c r="J16" s="71"/>
    </row>
    <row r="17" spans="1:10" ht="13.5" customHeight="1">
      <c r="A17" s="383" t="s">
        <v>969</v>
      </c>
      <c r="B17" s="383"/>
      <c r="C17" s="383"/>
      <c r="D17" s="383"/>
      <c r="E17" s="383"/>
      <c r="F17" s="383"/>
      <c r="G17" s="19">
        <v>9</v>
      </c>
      <c r="H17" s="20"/>
      <c r="I17" s="71"/>
      <c r="J17" s="71"/>
    </row>
    <row r="18" spans="1:10" ht="13.5" customHeight="1">
      <c r="A18" s="384" t="s">
        <v>731</v>
      </c>
      <c r="B18" s="384"/>
      <c r="C18" s="384"/>
      <c r="D18" s="384"/>
      <c r="E18" s="384"/>
      <c r="F18" s="384"/>
      <c r="G18" s="19">
        <v>10</v>
      </c>
      <c r="H18" s="20"/>
      <c r="I18" s="70">
        <f>SUM(I19:I27)</f>
        <v>27123982</v>
      </c>
      <c r="J18" s="70">
        <f>SUM(J19:J27)</f>
        <v>26401130</v>
      </c>
    </row>
    <row r="19" spans="1:10" ht="13.5" customHeight="1">
      <c r="A19" s="383" t="s">
        <v>2176</v>
      </c>
      <c r="B19" s="383"/>
      <c r="C19" s="383"/>
      <c r="D19" s="383"/>
      <c r="E19" s="383"/>
      <c r="F19" s="383"/>
      <c r="G19" s="19">
        <v>11</v>
      </c>
      <c r="H19" s="20"/>
      <c r="I19" s="71"/>
      <c r="J19" s="71"/>
    </row>
    <row r="20" spans="1:10" ht="13.5" customHeight="1">
      <c r="A20" s="383" t="s">
        <v>543</v>
      </c>
      <c r="B20" s="383"/>
      <c r="C20" s="383"/>
      <c r="D20" s="383"/>
      <c r="E20" s="383"/>
      <c r="F20" s="383"/>
      <c r="G20" s="19">
        <v>12</v>
      </c>
      <c r="H20" s="20"/>
      <c r="I20" s="71">
        <v>19146612</v>
      </c>
      <c r="J20" s="71">
        <v>18092428</v>
      </c>
    </row>
    <row r="21" spans="1:10" ht="13.5" customHeight="1">
      <c r="A21" s="383" t="s">
        <v>2177</v>
      </c>
      <c r="B21" s="383"/>
      <c r="C21" s="383"/>
      <c r="D21" s="383"/>
      <c r="E21" s="383"/>
      <c r="F21" s="383"/>
      <c r="G21" s="19">
        <v>13</v>
      </c>
      <c r="H21" s="20"/>
      <c r="I21" s="71">
        <v>7513</v>
      </c>
      <c r="J21" s="71">
        <v>3982</v>
      </c>
    </row>
    <row r="22" spans="1:10" ht="13.5" customHeight="1">
      <c r="A22" s="383" t="s">
        <v>2290</v>
      </c>
      <c r="B22" s="383"/>
      <c r="C22" s="383"/>
      <c r="D22" s="383"/>
      <c r="E22" s="383"/>
      <c r="F22" s="383"/>
      <c r="G22" s="19">
        <v>14</v>
      </c>
      <c r="H22" s="20"/>
      <c r="I22" s="71"/>
      <c r="J22" s="71"/>
    </row>
    <row r="23" spans="1:10" ht="13.5" customHeight="1">
      <c r="A23" s="383" t="s">
        <v>2291</v>
      </c>
      <c r="B23" s="383"/>
      <c r="C23" s="383"/>
      <c r="D23" s="383"/>
      <c r="E23" s="383"/>
      <c r="F23" s="383"/>
      <c r="G23" s="19">
        <v>15</v>
      </c>
      <c r="H23" s="20"/>
      <c r="I23" s="71"/>
      <c r="J23" s="71"/>
    </row>
    <row r="24" spans="1:10" ht="13.5" customHeight="1">
      <c r="A24" s="383" t="s">
        <v>1082</v>
      </c>
      <c r="B24" s="383"/>
      <c r="C24" s="383"/>
      <c r="D24" s="383"/>
      <c r="E24" s="383"/>
      <c r="F24" s="383"/>
      <c r="G24" s="19">
        <v>16</v>
      </c>
      <c r="H24" s="20"/>
      <c r="I24" s="71"/>
      <c r="J24" s="71"/>
    </row>
    <row r="25" spans="1:10" ht="13.5" customHeight="1">
      <c r="A25" s="383" t="s">
        <v>1083</v>
      </c>
      <c r="B25" s="383"/>
      <c r="C25" s="383"/>
      <c r="D25" s="383"/>
      <c r="E25" s="383"/>
      <c r="F25" s="383"/>
      <c r="G25" s="19">
        <v>17</v>
      </c>
      <c r="H25" s="20"/>
      <c r="I25" s="71">
        <v>7969857</v>
      </c>
      <c r="J25" s="71">
        <v>8304720</v>
      </c>
    </row>
    <row r="26" spans="1:10" ht="13.5" customHeight="1">
      <c r="A26" s="383" t="s">
        <v>1084</v>
      </c>
      <c r="B26" s="383"/>
      <c r="C26" s="383"/>
      <c r="D26" s="383"/>
      <c r="E26" s="383"/>
      <c r="F26" s="383"/>
      <c r="G26" s="19">
        <v>18</v>
      </c>
      <c r="H26" s="20"/>
      <c r="I26" s="71"/>
      <c r="J26" s="71"/>
    </row>
    <row r="27" spans="1:10" ht="13.5" customHeight="1">
      <c r="A27" s="383" t="s">
        <v>1085</v>
      </c>
      <c r="B27" s="383"/>
      <c r="C27" s="383"/>
      <c r="D27" s="383"/>
      <c r="E27" s="383"/>
      <c r="F27" s="383"/>
      <c r="G27" s="19">
        <v>19</v>
      </c>
      <c r="H27" s="20"/>
      <c r="I27" s="71"/>
      <c r="J27" s="71"/>
    </row>
    <row r="28" spans="1:10" ht="13.5" customHeight="1">
      <c r="A28" s="384" t="s">
        <v>2644</v>
      </c>
      <c r="B28" s="384"/>
      <c r="C28" s="384"/>
      <c r="D28" s="384"/>
      <c r="E28" s="384"/>
      <c r="F28" s="384"/>
      <c r="G28" s="19">
        <v>20</v>
      </c>
      <c r="H28" s="20"/>
      <c r="I28" s="70">
        <f>SUM(I29:I38)</f>
        <v>0</v>
      </c>
      <c r="J28" s="70">
        <f>SUM(J29:J38)</f>
        <v>0</v>
      </c>
    </row>
    <row r="29" spans="1:10" ht="13.5" customHeight="1">
      <c r="A29" s="383" t="s">
        <v>399</v>
      </c>
      <c r="B29" s="383"/>
      <c r="C29" s="383"/>
      <c r="D29" s="383"/>
      <c r="E29" s="383"/>
      <c r="F29" s="383"/>
      <c r="G29" s="19">
        <v>21</v>
      </c>
      <c r="H29" s="20"/>
      <c r="I29" s="71"/>
      <c r="J29" s="71"/>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c r="I36" s="71"/>
      <c r="J36" s="71"/>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c r="J38" s="71"/>
    </row>
    <row r="39" spans="1:10" ht="13.5" customHeight="1">
      <c r="A39" s="384" t="s">
        <v>2645</v>
      </c>
      <c r="B39" s="384"/>
      <c r="C39" s="384"/>
      <c r="D39" s="384"/>
      <c r="E39" s="384"/>
      <c r="F39" s="384"/>
      <c r="G39" s="19">
        <v>31</v>
      </c>
      <c r="H39" s="20"/>
      <c r="I39" s="70">
        <f>SUM(I40:I43)</f>
        <v>0</v>
      </c>
      <c r="J39" s="70">
        <f>SUM(J40:J43)</f>
        <v>0</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c r="I43" s="71"/>
      <c r="J43" s="71"/>
    </row>
    <row r="44" spans="1:10" ht="13.5" customHeight="1">
      <c r="A44" s="384" t="s">
        <v>655</v>
      </c>
      <c r="B44" s="384"/>
      <c r="C44" s="384"/>
      <c r="D44" s="384"/>
      <c r="E44" s="384"/>
      <c r="F44" s="384"/>
      <c r="G44" s="19">
        <v>36</v>
      </c>
      <c r="H44" s="20"/>
      <c r="I44" s="71"/>
      <c r="J44" s="71"/>
    </row>
    <row r="45" spans="1:10" ht="13.5" customHeight="1">
      <c r="A45" s="381" t="s">
        <v>2646</v>
      </c>
      <c r="B45" s="381"/>
      <c r="C45" s="381"/>
      <c r="D45" s="381"/>
      <c r="E45" s="381"/>
      <c r="F45" s="381"/>
      <c r="G45" s="19">
        <v>37</v>
      </c>
      <c r="H45" s="20"/>
      <c r="I45" s="70">
        <f>I46+I54+I61+I71</f>
        <v>686956</v>
      </c>
      <c r="J45" s="70">
        <f>J46+J54+J61+J71</f>
        <v>278340</v>
      </c>
    </row>
    <row r="46" spans="1:10" ht="13.5" customHeight="1">
      <c r="A46" s="384" t="s">
        <v>2647</v>
      </c>
      <c r="B46" s="384"/>
      <c r="C46" s="384"/>
      <c r="D46" s="384"/>
      <c r="E46" s="384"/>
      <c r="F46" s="384"/>
      <c r="G46" s="19">
        <v>38</v>
      </c>
      <c r="H46" s="20"/>
      <c r="I46" s="70">
        <f>SUM(I47:I53)</f>
        <v>33040</v>
      </c>
      <c r="J46" s="70">
        <f>SUM(J47:J53)</f>
        <v>28959</v>
      </c>
    </row>
    <row r="47" spans="1:10" ht="13.5" customHeight="1">
      <c r="A47" s="383" t="s">
        <v>970</v>
      </c>
      <c r="B47" s="383"/>
      <c r="C47" s="383"/>
      <c r="D47" s="383"/>
      <c r="E47" s="383"/>
      <c r="F47" s="383"/>
      <c r="G47" s="19">
        <v>39</v>
      </c>
      <c r="H47" s="20"/>
      <c r="I47" s="71">
        <v>33040</v>
      </c>
      <c r="J47" s="71">
        <v>28959</v>
      </c>
    </row>
    <row r="48" spans="1:10" ht="13.5" customHeight="1">
      <c r="A48" s="383" t="s">
        <v>971</v>
      </c>
      <c r="B48" s="383"/>
      <c r="C48" s="383"/>
      <c r="D48" s="383"/>
      <c r="E48" s="383"/>
      <c r="F48" s="383"/>
      <c r="G48" s="19">
        <v>40</v>
      </c>
      <c r="H48" s="20"/>
      <c r="I48" s="71"/>
      <c r="J48" s="71"/>
    </row>
    <row r="49" spans="1:10" ht="13.5" customHeight="1">
      <c r="A49" s="383" t="s">
        <v>972</v>
      </c>
      <c r="B49" s="383"/>
      <c r="C49" s="383"/>
      <c r="D49" s="383"/>
      <c r="E49" s="383"/>
      <c r="F49" s="383"/>
      <c r="G49" s="19">
        <v>41</v>
      </c>
      <c r="H49" s="20"/>
      <c r="I49" s="71"/>
      <c r="J49" s="71"/>
    </row>
    <row r="50" spans="1:10" ht="13.5" customHeight="1">
      <c r="A50" s="383" t="s">
        <v>973</v>
      </c>
      <c r="B50" s="383"/>
      <c r="C50" s="383"/>
      <c r="D50" s="383"/>
      <c r="E50" s="383"/>
      <c r="F50" s="383"/>
      <c r="G50" s="19">
        <v>42</v>
      </c>
      <c r="H50" s="20"/>
      <c r="I50" s="71"/>
      <c r="J50" s="71"/>
    </row>
    <row r="51" spans="1:10" ht="13.5" customHeight="1">
      <c r="A51" s="383" t="s">
        <v>974</v>
      </c>
      <c r="B51" s="383"/>
      <c r="C51" s="383"/>
      <c r="D51" s="383"/>
      <c r="E51" s="383"/>
      <c r="F51" s="383"/>
      <c r="G51" s="19">
        <v>43</v>
      </c>
      <c r="H51" s="20"/>
      <c r="I51" s="71"/>
      <c r="J51" s="71"/>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c r="I53" s="71"/>
      <c r="J53" s="71"/>
    </row>
    <row r="54" spans="1:10" ht="13.5" customHeight="1">
      <c r="A54" s="384" t="s">
        <v>2648</v>
      </c>
      <c r="B54" s="384"/>
      <c r="C54" s="384"/>
      <c r="D54" s="384"/>
      <c r="E54" s="384"/>
      <c r="F54" s="384"/>
      <c r="G54" s="19">
        <v>46</v>
      </c>
      <c r="H54" s="20"/>
      <c r="I54" s="70">
        <f>SUM(I55:I60)</f>
        <v>592300</v>
      </c>
      <c r="J54" s="70">
        <f>SUM(J55:J60)</f>
        <v>144846</v>
      </c>
    </row>
    <row r="55" spans="1:10" ht="13.5" customHeight="1">
      <c r="A55" s="383" t="s">
        <v>348</v>
      </c>
      <c r="B55" s="383"/>
      <c r="C55" s="383"/>
      <c r="D55" s="383"/>
      <c r="E55" s="383"/>
      <c r="F55" s="383"/>
      <c r="G55" s="19">
        <v>47</v>
      </c>
      <c r="H55" s="20"/>
      <c r="I55" s="71">
        <v>169626</v>
      </c>
      <c r="J55" s="71"/>
    </row>
    <row r="56" spans="1:10" ht="13.5" customHeight="1">
      <c r="A56" s="383" t="s">
        <v>349</v>
      </c>
      <c r="B56" s="383"/>
      <c r="C56" s="383"/>
      <c r="D56" s="383"/>
      <c r="E56" s="383"/>
      <c r="F56" s="383"/>
      <c r="G56" s="19">
        <v>48</v>
      </c>
      <c r="H56" s="20"/>
      <c r="I56" s="71"/>
      <c r="J56" s="71"/>
    </row>
    <row r="57" spans="1:10" ht="13.5" customHeight="1">
      <c r="A57" s="383" t="s">
        <v>2636</v>
      </c>
      <c r="B57" s="383"/>
      <c r="C57" s="383"/>
      <c r="D57" s="383"/>
      <c r="E57" s="383"/>
      <c r="F57" s="383"/>
      <c r="G57" s="19">
        <v>49</v>
      </c>
      <c r="H57" s="20"/>
      <c r="I57" s="71">
        <v>97251</v>
      </c>
      <c r="J57" s="71">
        <v>113540</v>
      </c>
    </row>
    <row r="58" spans="1:10" ht="13.5" customHeight="1">
      <c r="A58" s="383" t="s">
        <v>350</v>
      </c>
      <c r="B58" s="383"/>
      <c r="C58" s="383"/>
      <c r="D58" s="383"/>
      <c r="E58" s="383"/>
      <c r="F58" s="383"/>
      <c r="G58" s="19">
        <v>50</v>
      </c>
      <c r="H58" s="20"/>
      <c r="I58" s="71"/>
      <c r="J58" s="71"/>
    </row>
    <row r="59" spans="1:10" ht="13.5" customHeight="1">
      <c r="A59" s="383" t="s">
        <v>351</v>
      </c>
      <c r="B59" s="383"/>
      <c r="C59" s="383"/>
      <c r="D59" s="383"/>
      <c r="E59" s="383"/>
      <c r="F59" s="383"/>
      <c r="G59" s="19">
        <v>51</v>
      </c>
      <c r="H59" s="20"/>
      <c r="I59" s="71">
        <v>325423</v>
      </c>
      <c r="J59" s="71">
        <v>31306</v>
      </c>
    </row>
    <row r="60" spans="1:10" ht="13.5" customHeight="1">
      <c r="A60" s="383" t="s">
        <v>2638</v>
      </c>
      <c r="B60" s="383"/>
      <c r="C60" s="383"/>
      <c r="D60" s="383"/>
      <c r="E60" s="383"/>
      <c r="F60" s="383"/>
      <c r="G60" s="19">
        <v>52</v>
      </c>
      <c r="H60" s="20"/>
      <c r="I60" s="71"/>
      <c r="J60" s="71"/>
    </row>
    <row r="61" spans="1:10" ht="13.5" customHeight="1">
      <c r="A61" s="384" t="s">
        <v>2649</v>
      </c>
      <c r="B61" s="384"/>
      <c r="C61" s="384"/>
      <c r="D61" s="384"/>
      <c r="E61" s="384"/>
      <c r="F61" s="384"/>
      <c r="G61" s="19">
        <v>53</v>
      </c>
      <c r="H61" s="20"/>
      <c r="I61" s="70">
        <f>SUM(I62:I70)</f>
        <v>0</v>
      </c>
      <c r="J61" s="70">
        <f>SUM(J62:J70)</f>
        <v>0</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c r="I69" s="71"/>
      <c r="J69" s="71"/>
    </row>
    <row r="70" spans="1:10" ht="13.5" customHeight="1">
      <c r="A70" s="383" t="s">
        <v>1038</v>
      </c>
      <c r="B70" s="383"/>
      <c r="C70" s="383"/>
      <c r="D70" s="383"/>
      <c r="E70" s="383"/>
      <c r="F70" s="383"/>
      <c r="G70" s="19">
        <v>62</v>
      </c>
      <c r="H70" s="20"/>
      <c r="I70" s="71"/>
      <c r="J70" s="71"/>
    </row>
    <row r="71" spans="1:10" ht="13.5" customHeight="1">
      <c r="A71" s="384" t="s">
        <v>2395</v>
      </c>
      <c r="B71" s="384"/>
      <c r="C71" s="384"/>
      <c r="D71" s="384"/>
      <c r="E71" s="384"/>
      <c r="F71" s="384"/>
      <c r="G71" s="19">
        <v>63</v>
      </c>
      <c r="H71" s="20"/>
      <c r="I71" s="71">
        <v>61616</v>
      </c>
      <c r="J71" s="71">
        <v>104535</v>
      </c>
    </row>
    <row r="72" spans="1:10" ht="24.75" customHeight="1">
      <c r="A72" s="381" t="s">
        <v>1558</v>
      </c>
      <c r="B72" s="381"/>
      <c r="C72" s="381"/>
      <c r="D72" s="381"/>
      <c r="E72" s="381"/>
      <c r="F72" s="381"/>
      <c r="G72" s="19">
        <v>64</v>
      </c>
      <c r="H72" s="20"/>
      <c r="I72" s="71">
        <v>1316</v>
      </c>
      <c r="J72" s="71">
        <v>1186</v>
      </c>
    </row>
    <row r="73" spans="1:10" ht="13.5" customHeight="1">
      <c r="A73" s="381" t="s">
        <v>2650</v>
      </c>
      <c r="B73" s="381"/>
      <c r="C73" s="381"/>
      <c r="D73" s="381"/>
      <c r="E73" s="381"/>
      <c r="F73" s="381"/>
      <c r="G73" s="19">
        <v>65</v>
      </c>
      <c r="H73" s="20"/>
      <c r="I73" s="70">
        <f>I9+I10+I45+I72</f>
        <v>27815754</v>
      </c>
      <c r="J73" s="70">
        <f>J9+J10+J45+J72</f>
        <v>26682656</v>
      </c>
    </row>
    <row r="74" spans="1:10" ht="13.5" customHeight="1">
      <c r="A74" s="382" t="s">
        <v>257</v>
      </c>
      <c r="B74" s="382"/>
      <c r="C74" s="382"/>
      <c r="D74" s="382"/>
      <c r="E74" s="382"/>
      <c r="F74" s="382"/>
      <c r="G74" s="21">
        <v>66</v>
      </c>
      <c r="H74" s="22"/>
      <c r="I74" s="72"/>
      <c r="J74" s="72"/>
    </row>
    <row r="75" spans="1:10" ht="13.5" customHeight="1">
      <c r="A75" s="385" t="s">
        <v>663</v>
      </c>
      <c r="B75" s="386"/>
      <c r="C75" s="386"/>
      <c r="D75" s="386"/>
      <c r="E75" s="386"/>
      <c r="F75" s="386"/>
      <c r="G75" s="386"/>
      <c r="H75" s="386"/>
      <c r="I75" s="386"/>
      <c r="J75" s="386"/>
    </row>
    <row r="76" spans="1:12" ht="13.5" customHeight="1">
      <c r="A76" s="381" t="s">
        <v>2651</v>
      </c>
      <c r="B76" s="381"/>
      <c r="C76" s="381"/>
      <c r="D76" s="381"/>
      <c r="E76" s="381"/>
      <c r="F76" s="381"/>
      <c r="G76" s="19">
        <v>67</v>
      </c>
      <c r="H76" s="20"/>
      <c r="I76" s="70">
        <f>I77+I78+I79+I85+I86+I90+I93+I96</f>
        <v>210549</v>
      </c>
      <c r="J76" s="70">
        <f>J77+J78+J79+J85+J86+J90+J93+J96</f>
        <v>234487</v>
      </c>
      <c r="L76" s="2" t="s">
        <v>2591</v>
      </c>
    </row>
    <row r="77" spans="1:10" ht="13.5" customHeight="1">
      <c r="A77" s="384" t="s">
        <v>935</v>
      </c>
      <c r="B77" s="384"/>
      <c r="C77" s="384"/>
      <c r="D77" s="384"/>
      <c r="E77" s="384"/>
      <c r="F77" s="384"/>
      <c r="G77" s="19">
        <v>68</v>
      </c>
      <c r="H77" s="20"/>
      <c r="I77" s="71">
        <v>20000</v>
      </c>
      <c r="J77" s="71">
        <v>20000</v>
      </c>
    </row>
    <row r="78" spans="1:12" ht="13.5" customHeight="1">
      <c r="A78" s="384" t="s">
        <v>936</v>
      </c>
      <c r="B78" s="384"/>
      <c r="C78" s="384"/>
      <c r="D78" s="384"/>
      <c r="E78" s="384"/>
      <c r="F78" s="384"/>
      <c r="G78" s="19">
        <v>69</v>
      </c>
      <c r="H78" s="20"/>
      <c r="I78" s="71"/>
      <c r="J78" s="71"/>
      <c r="L78" s="2" t="s">
        <v>2591</v>
      </c>
    </row>
    <row r="79" spans="1:12" ht="13.5" customHeight="1">
      <c r="A79" s="384" t="s">
        <v>2473</v>
      </c>
      <c r="B79" s="384"/>
      <c r="C79" s="384"/>
      <c r="D79" s="384"/>
      <c r="E79" s="384"/>
      <c r="F79" s="384"/>
      <c r="G79" s="19">
        <v>70</v>
      </c>
      <c r="H79" s="20"/>
      <c r="I79" s="70">
        <f>I80+I81-I82+I83+I84</f>
        <v>0</v>
      </c>
      <c r="J79" s="70">
        <f>J80+J81-J82+J83+J84</f>
        <v>0</v>
      </c>
      <c r="L79" s="2" t="s">
        <v>2591</v>
      </c>
    </row>
    <row r="80" spans="1:10" ht="13.5" customHeight="1">
      <c r="A80" s="383" t="s">
        <v>2641</v>
      </c>
      <c r="B80" s="383"/>
      <c r="C80" s="383"/>
      <c r="D80" s="383"/>
      <c r="E80" s="383"/>
      <c r="F80" s="383"/>
      <c r="G80" s="19">
        <v>71</v>
      </c>
      <c r="H80" s="20"/>
      <c r="I80" s="71"/>
      <c r="J80" s="71"/>
    </row>
    <row r="81" spans="1:10" ht="13.5" customHeight="1">
      <c r="A81" s="383" t="s">
        <v>2642</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c r="I84" s="71"/>
      <c r="J84" s="71"/>
    </row>
    <row r="85" spans="1:12" ht="13.5" customHeight="1">
      <c r="A85" s="384" t="s">
        <v>1606</v>
      </c>
      <c r="B85" s="384"/>
      <c r="C85" s="384"/>
      <c r="D85" s="384"/>
      <c r="E85" s="384"/>
      <c r="F85" s="384"/>
      <c r="G85" s="19">
        <v>76</v>
      </c>
      <c r="H85" s="20"/>
      <c r="I85" s="71"/>
      <c r="J85" s="71"/>
      <c r="L85" s="2" t="s">
        <v>2591</v>
      </c>
    </row>
    <row r="86" spans="1:10" ht="13.5" customHeight="1">
      <c r="A86" s="384" t="s">
        <v>19</v>
      </c>
      <c r="B86" s="384"/>
      <c r="C86" s="384"/>
      <c r="D86" s="384"/>
      <c r="E86" s="384"/>
      <c r="F86" s="384"/>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4" t="s">
        <v>2652</v>
      </c>
      <c r="B90" s="384"/>
      <c r="C90" s="384"/>
      <c r="D90" s="384"/>
      <c r="E90" s="384"/>
      <c r="F90" s="384"/>
      <c r="G90" s="19">
        <v>81</v>
      </c>
      <c r="H90" s="20"/>
      <c r="I90" s="70">
        <f>I91-I92</f>
        <v>206403</v>
      </c>
      <c r="J90" s="70">
        <f>J91-J92</f>
        <v>190549</v>
      </c>
      <c r="L90" s="2" t="s">
        <v>2591</v>
      </c>
    </row>
    <row r="91" spans="1:10" ht="13.5" customHeight="1">
      <c r="A91" s="383" t="s">
        <v>1139</v>
      </c>
      <c r="B91" s="383"/>
      <c r="C91" s="383"/>
      <c r="D91" s="383"/>
      <c r="E91" s="383"/>
      <c r="F91" s="383"/>
      <c r="G91" s="19">
        <v>82</v>
      </c>
      <c r="H91" s="20"/>
      <c r="I91" s="71">
        <v>206403</v>
      </c>
      <c r="J91" s="71">
        <v>190549</v>
      </c>
    </row>
    <row r="92" spans="1:10" ht="13.5" customHeight="1">
      <c r="A92" s="383" t="s">
        <v>1140</v>
      </c>
      <c r="B92" s="383"/>
      <c r="C92" s="383"/>
      <c r="D92" s="383"/>
      <c r="E92" s="383"/>
      <c r="F92" s="383"/>
      <c r="G92" s="19">
        <v>83</v>
      </c>
      <c r="H92" s="20"/>
      <c r="I92" s="71"/>
      <c r="J92" s="71"/>
    </row>
    <row r="93" spans="1:12" ht="13.5" customHeight="1">
      <c r="A93" s="384" t="s">
        <v>2653</v>
      </c>
      <c r="B93" s="384"/>
      <c r="C93" s="384"/>
      <c r="D93" s="384"/>
      <c r="E93" s="384"/>
      <c r="F93" s="384"/>
      <c r="G93" s="19">
        <v>84</v>
      </c>
      <c r="H93" s="20"/>
      <c r="I93" s="70">
        <f>I94-I95</f>
        <v>-15854</v>
      </c>
      <c r="J93" s="70">
        <f>J94-J95</f>
        <v>23938</v>
      </c>
      <c r="L93" s="2" t="s">
        <v>2591</v>
      </c>
    </row>
    <row r="94" spans="1:10" ht="13.5" customHeight="1">
      <c r="A94" s="383" t="s">
        <v>2640</v>
      </c>
      <c r="B94" s="383"/>
      <c r="C94" s="383"/>
      <c r="D94" s="383"/>
      <c r="E94" s="383"/>
      <c r="F94" s="383"/>
      <c r="G94" s="19">
        <v>85</v>
      </c>
      <c r="H94" s="20"/>
      <c r="I94" s="71"/>
      <c r="J94" s="71">
        <v>23938</v>
      </c>
    </row>
    <row r="95" spans="1:10" ht="13.5" customHeight="1">
      <c r="A95" s="383" t="s">
        <v>1141</v>
      </c>
      <c r="B95" s="383"/>
      <c r="C95" s="383"/>
      <c r="D95" s="383"/>
      <c r="E95" s="383"/>
      <c r="F95" s="383"/>
      <c r="G95" s="19">
        <v>86</v>
      </c>
      <c r="H95" s="20"/>
      <c r="I95" s="71">
        <v>15854</v>
      </c>
      <c r="J95" s="71"/>
    </row>
    <row r="96" spans="1:12" ht="13.5" customHeight="1">
      <c r="A96" s="384" t="s">
        <v>2191</v>
      </c>
      <c r="B96" s="384"/>
      <c r="C96" s="384"/>
      <c r="D96" s="384"/>
      <c r="E96" s="384"/>
      <c r="F96" s="384"/>
      <c r="G96" s="19">
        <v>87</v>
      </c>
      <c r="H96" s="20"/>
      <c r="I96" s="71"/>
      <c r="J96" s="71"/>
      <c r="L96" s="2" t="s">
        <v>2591</v>
      </c>
    </row>
    <row r="97" spans="1:10" ht="13.5" customHeight="1">
      <c r="A97" s="381" t="s">
        <v>2654</v>
      </c>
      <c r="B97" s="381"/>
      <c r="C97" s="381"/>
      <c r="D97" s="381"/>
      <c r="E97" s="381"/>
      <c r="F97" s="381"/>
      <c r="G97" s="19">
        <v>88</v>
      </c>
      <c r="H97" s="20"/>
      <c r="I97" s="70">
        <f>SUM(I98:I103)</f>
        <v>0</v>
      </c>
      <c r="J97" s="70">
        <f>SUM(J98:J103)</f>
        <v>0</v>
      </c>
    </row>
    <row r="98" spans="1:10" ht="13.5" customHeight="1">
      <c r="A98" s="383" t="s">
        <v>901</v>
      </c>
      <c r="B98" s="383"/>
      <c r="C98" s="383"/>
      <c r="D98" s="383"/>
      <c r="E98" s="383"/>
      <c r="F98" s="383"/>
      <c r="G98" s="19">
        <v>89</v>
      </c>
      <c r="H98" s="20"/>
      <c r="I98" s="71"/>
      <c r="J98" s="71"/>
    </row>
    <row r="99" spans="1:10" ht="13.5" customHeight="1">
      <c r="A99" s="383" t="s">
        <v>902</v>
      </c>
      <c r="B99" s="383"/>
      <c r="C99" s="383"/>
      <c r="D99" s="383"/>
      <c r="E99" s="383"/>
      <c r="F99" s="383"/>
      <c r="G99" s="19">
        <v>90</v>
      </c>
      <c r="H99" s="20"/>
      <c r="I99" s="71"/>
      <c r="J99" s="71"/>
    </row>
    <row r="100" spans="1:10" ht="13.5" customHeight="1">
      <c r="A100" s="383" t="s">
        <v>2639</v>
      </c>
      <c r="B100" s="383"/>
      <c r="C100" s="383"/>
      <c r="D100" s="383"/>
      <c r="E100" s="383"/>
      <c r="F100" s="383"/>
      <c r="G100" s="19">
        <v>91</v>
      </c>
      <c r="H100" s="20"/>
      <c r="I100" s="71"/>
      <c r="J100" s="71"/>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2192</v>
      </c>
      <c r="B103" s="383"/>
      <c r="C103" s="383"/>
      <c r="D103" s="383"/>
      <c r="E103" s="383"/>
      <c r="F103" s="383"/>
      <c r="G103" s="19">
        <v>94</v>
      </c>
      <c r="H103" s="20"/>
      <c r="I103" s="71"/>
      <c r="J103" s="71"/>
    </row>
    <row r="104" spans="1:10" ht="13.5" customHeight="1">
      <c r="A104" s="381" t="s">
        <v>2655</v>
      </c>
      <c r="B104" s="381"/>
      <c r="C104" s="381"/>
      <c r="D104" s="381"/>
      <c r="E104" s="381"/>
      <c r="F104" s="381"/>
      <c r="G104" s="19">
        <v>95</v>
      </c>
      <c r="H104" s="20"/>
      <c r="I104" s="70">
        <f>SUM(I105:I115)</f>
        <v>0</v>
      </c>
      <c r="J104" s="70">
        <f>SUM(J105:J115)</f>
        <v>0</v>
      </c>
    </row>
    <row r="105" spans="1:10" ht="13.5" customHeight="1">
      <c r="A105" s="383" t="s">
        <v>2193</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c r="I110" s="71"/>
      <c r="J110" s="71"/>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c r="J114" s="71"/>
    </row>
    <row r="115" spans="1:10" ht="13.5" customHeight="1">
      <c r="A115" s="383" t="s">
        <v>503</v>
      </c>
      <c r="B115" s="383"/>
      <c r="C115" s="383"/>
      <c r="D115" s="383"/>
      <c r="E115" s="383"/>
      <c r="F115" s="383"/>
      <c r="G115" s="19">
        <v>106</v>
      </c>
      <c r="H115" s="20"/>
      <c r="I115" s="71"/>
      <c r="J115" s="71"/>
    </row>
    <row r="116" spans="1:10" ht="13.5" customHeight="1">
      <c r="A116" s="381" t="s">
        <v>2656</v>
      </c>
      <c r="B116" s="381"/>
      <c r="C116" s="381"/>
      <c r="D116" s="381"/>
      <c r="E116" s="381"/>
      <c r="F116" s="381"/>
      <c r="G116" s="19">
        <v>107</v>
      </c>
      <c r="H116" s="20"/>
      <c r="I116" s="70">
        <f>SUM(I117:I130)</f>
        <v>520417</v>
      </c>
      <c r="J116" s="70">
        <f>SUM(J117:J130)</f>
        <v>97682</v>
      </c>
    </row>
    <row r="117" spans="1:10" ht="13.5" customHeight="1">
      <c r="A117" s="383" t="s">
        <v>2193</v>
      </c>
      <c r="B117" s="383"/>
      <c r="C117" s="383"/>
      <c r="D117" s="383"/>
      <c r="E117" s="383"/>
      <c r="F117" s="383"/>
      <c r="G117" s="19">
        <v>108</v>
      </c>
      <c r="H117" s="20"/>
      <c r="I117" s="71"/>
      <c r="J117" s="71"/>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c r="I121" s="71"/>
      <c r="J121" s="71"/>
    </row>
    <row r="122" spans="1:10" ht="13.5" customHeight="1">
      <c r="A122" s="383" t="s">
        <v>362</v>
      </c>
      <c r="B122" s="383"/>
      <c r="C122" s="383"/>
      <c r="D122" s="383"/>
      <c r="E122" s="383"/>
      <c r="F122" s="383"/>
      <c r="G122" s="19">
        <v>113</v>
      </c>
      <c r="H122" s="20"/>
      <c r="I122" s="71"/>
      <c r="J122" s="71"/>
    </row>
    <row r="123" spans="1:10" ht="13.5" customHeight="1">
      <c r="A123" s="383" t="s">
        <v>357</v>
      </c>
      <c r="B123" s="383"/>
      <c r="C123" s="383"/>
      <c r="D123" s="383"/>
      <c r="E123" s="383"/>
      <c r="F123" s="383"/>
      <c r="G123" s="19">
        <v>114</v>
      </c>
      <c r="H123" s="20"/>
      <c r="I123" s="71"/>
      <c r="J123" s="71">
        <v>11600</v>
      </c>
    </row>
    <row r="124" spans="1:10" ht="13.5" customHeight="1">
      <c r="A124" s="383" t="s">
        <v>358</v>
      </c>
      <c r="B124" s="383"/>
      <c r="C124" s="383"/>
      <c r="D124" s="383"/>
      <c r="E124" s="383"/>
      <c r="F124" s="383"/>
      <c r="G124" s="19">
        <v>115</v>
      </c>
      <c r="H124" s="20"/>
      <c r="I124" s="71">
        <v>483740</v>
      </c>
      <c r="J124" s="71">
        <v>41264</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c r="I126" s="71">
        <v>11073</v>
      </c>
      <c r="J126" s="71">
        <v>13910</v>
      </c>
    </row>
    <row r="127" spans="1:10" ht="13.5" customHeight="1">
      <c r="A127" s="383" t="s">
        <v>364</v>
      </c>
      <c r="B127" s="383"/>
      <c r="C127" s="383"/>
      <c r="D127" s="383"/>
      <c r="E127" s="383"/>
      <c r="F127" s="383"/>
      <c r="G127" s="19">
        <v>118</v>
      </c>
      <c r="H127" s="20"/>
      <c r="I127" s="71">
        <v>8536</v>
      </c>
      <c r="J127" s="71">
        <v>10846</v>
      </c>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c r="I130" s="71">
        <v>17068</v>
      </c>
      <c r="J130" s="71">
        <v>20062</v>
      </c>
    </row>
    <row r="131" spans="1:10" ht="24.75" customHeight="1">
      <c r="A131" s="381" t="s">
        <v>1560</v>
      </c>
      <c r="B131" s="381"/>
      <c r="C131" s="381"/>
      <c r="D131" s="381"/>
      <c r="E131" s="381"/>
      <c r="F131" s="381"/>
      <c r="G131" s="19">
        <v>122</v>
      </c>
      <c r="H131" s="20"/>
      <c r="I131" s="71">
        <v>27084788</v>
      </c>
      <c r="J131" s="71">
        <v>26350487</v>
      </c>
    </row>
    <row r="132" spans="1:10" ht="13.5" customHeight="1">
      <c r="A132" s="381" t="s">
        <v>2657</v>
      </c>
      <c r="B132" s="381"/>
      <c r="C132" s="381"/>
      <c r="D132" s="381"/>
      <c r="E132" s="381"/>
      <c r="F132" s="381"/>
      <c r="G132" s="19">
        <v>123</v>
      </c>
      <c r="H132" s="20"/>
      <c r="I132" s="70">
        <f>I76+I97+I104+I116+I131</f>
        <v>27815754</v>
      </c>
      <c r="J132" s="70">
        <f>J76+J97+J104+J116+J131</f>
        <v>26682656</v>
      </c>
    </row>
    <row r="133" spans="1:10" ht="13.5" customHeight="1">
      <c r="A133" s="382" t="s">
        <v>662</v>
      </c>
      <c r="B133" s="382"/>
      <c r="C133" s="382"/>
      <c r="D133" s="382"/>
      <c r="E133" s="382"/>
      <c r="F133" s="382"/>
      <c r="G133" s="21">
        <v>124</v>
      </c>
      <c r="H133" s="22"/>
      <c r="I133" s="72"/>
      <c r="J133" s="72"/>
    </row>
    <row r="134" ht="4.5" customHeight="1"/>
    <row r="135" ht="12" hidden="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88:F88"/>
    <mergeCell ref="A9:F9"/>
    <mergeCell ref="A10:F10"/>
    <mergeCell ref="A11:F11"/>
    <mergeCell ref="A12:F12"/>
    <mergeCell ref="A27:F27"/>
    <mergeCell ref="A28:F28"/>
    <mergeCell ref="A23:F23"/>
    <mergeCell ref="A24:F24"/>
    <mergeCell ref="A19:F19"/>
    <mergeCell ref="A30:F30"/>
    <mergeCell ref="A31:F31"/>
    <mergeCell ref="A32:F32"/>
    <mergeCell ref="A38:F38"/>
    <mergeCell ref="A39:F39"/>
    <mergeCell ref="A33:F33"/>
    <mergeCell ref="A104:F104"/>
    <mergeCell ref="A105:F105"/>
    <mergeCell ref="A21:F21"/>
    <mergeCell ref="A22:F22"/>
    <mergeCell ref="A98:F98"/>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5" activePane="bottomLeft" state="frozen"/>
      <selection pane="topLeft" activeCell="A1" sqref="A1"/>
      <selection pane="bottomLeft" activeCell="C1" sqref="C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0" t="s">
        <v>139</v>
      </c>
      <c r="B2" s="413"/>
      <c r="C2" s="413"/>
      <c r="D2" s="413"/>
      <c r="E2" s="413"/>
      <c r="F2" s="413"/>
      <c r="G2" s="413"/>
      <c r="H2" s="413"/>
      <c r="I2" s="414"/>
      <c r="J2" s="388" t="s">
        <v>2592</v>
      </c>
      <c r="Q2" s="74">
        <f>IF(OR(MIN(I8:I105)&lt;0,MAX(I8:I105)&gt;0),1,0)</f>
        <v>1</v>
      </c>
      <c r="R2" s="73" t="s">
        <v>2586</v>
      </c>
    </row>
    <row r="3" spans="1:18" s="2" customFormat="1" ht="19.5" customHeight="1" thickBot="1">
      <c r="A3" s="393" t="str">
        <f>"za razdoblje "&amp;IF(RefStr!C4&lt;&gt;"",TEXT(RefStr!C4,"DD.MM.YYYY."),"__.__.____.")&amp;" do "&amp;IF(RefStr!F4&lt;&gt;"",TEXT(RefStr!F4,"DD.MM.YYYY."),"__.__.____.")</f>
        <v>za razdoblje 01.01.2017. do 31.12.2017.</v>
      </c>
      <c r="B3" s="415"/>
      <c r="C3" s="415"/>
      <c r="D3" s="415"/>
      <c r="E3" s="415"/>
      <c r="F3" s="415"/>
      <c r="G3" s="415"/>
      <c r="H3" s="415"/>
      <c r="I3" s="416"/>
      <c r="J3" s="389"/>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0" t="str">
        <f>"Obveznik: "&amp;IF(RefStr!C27&lt;&gt;"",RefStr!C27,"________")&amp;"; "&amp;IF(RefStr!C29&lt;&gt;"",RefStr!C29,"________________________________________________________"&amp;"; "&amp;IF(RefStr!F31&lt;&gt;"",RefStr!F31,"_______________"))</f>
        <v>Obveznik: 36297945940; VODOOPSKRBA d.o.o. za javnu vodoopskrbu i odvodnju</v>
      </c>
      <c r="B5" s="411"/>
      <c r="C5" s="411"/>
      <c r="D5" s="411"/>
      <c r="E5" s="411"/>
      <c r="F5" s="411"/>
      <c r="G5" s="411"/>
      <c r="H5" s="411"/>
      <c r="I5" s="411"/>
      <c r="J5" s="412"/>
      <c r="Q5" s="2">
        <f>IF(OR(MIN(I85:I87,I103:I105)&lt;0,MAX(I85:I87,I103:I105)&gt;0),1,0)</f>
        <v>0</v>
      </c>
      <c r="R5" s="73" t="s">
        <v>2588</v>
      </c>
    </row>
    <row r="6" spans="1:18" s="2" customFormat="1" ht="24.75" customHeight="1" thickBot="1">
      <c r="A6" s="399" t="s">
        <v>719</v>
      </c>
      <c r="B6" s="400"/>
      <c r="C6" s="400"/>
      <c r="D6" s="400"/>
      <c r="E6" s="400"/>
      <c r="F6" s="400"/>
      <c r="G6" s="97" t="s">
        <v>799</v>
      </c>
      <c r="H6" s="97" t="s">
        <v>1968</v>
      </c>
      <c r="I6" s="102" t="s">
        <v>459</v>
      </c>
      <c r="J6" s="103" t="s">
        <v>460</v>
      </c>
      <c r="Q6" s="2">
        <f>IF(OR(MIN(J85:J87,J103:J105)&lt;0,MAX(J85:J87,J103:J105)&gt;0),1,0)</f>
        <v>0</v>
      </c>
      <c r="R6" s="73" t="s">
        <v>2589</v>
      </c>
    </row>
    <row r="7" spans="1:18" s="2" customFormat="1" ht="13.5" customHeight="1">
      <c r="A7" s="401">
        <v>1</v>
      </c>
      <c r="B7" s="402"/>
      <c r="C7" s="402"/>
      <c r="D7" s="402"/>
      <c r="E7" s="402"/>
      <c r="F7" s="402"/>
      <c r="G7" s="105">
        <v>2</v>
      </c>
      <c r="H7" s="105">
        <v>3</v>
      </c>
      <c r="I7" s="104">
        <v>4</v>
      </c>
      <c r="J7" s="106">
        <v>5</v>
      </c>
      <c r="Q7" s="2">
        <f>IF(OR(MIN(RDG!I89:J101)&lt;0,MAX(RDG!I89:J101)&gt;0),1,0)</f>
        <v>0</v>
      </c>
      <c r="R7" s="73" t="s">
        <v>800</v>
      </c>
    </row>
    <row r="8" spans="1:18" s="2" customFormat="1" ht="13.5" customHeight="1">
      <c r="A8" s="408" t="s">
        <v>1836</v>
      </c>
      <c r="B8" s="408"/>
      <c r="C8" s="408"/>
      <c r="D8" s="408"/>
      <c r="E8" s="408"/>
      <c r="F8" s="408"/>
      <c r="G8" s="17">
        <v>125</v>
      </c>
      <c r="H8" s="18"/>
      <c r="I8" s="84">
        <f>SUM(I9:I13)</f>
        <v>1452430</v>
      </c>
      <c r="J8" s="84">
        <f>SUM(J9:J13)</f>
        <v>1538639</v>
      </c>
      <c r="Q8" s="2">
        <f>IF(OR(MIN(I70:J75)&lt;&gt;0,MAX(I70:J75)&lt;&gt;0),1,0)</f>
        <v>0</v>
      </c>
      <c r="R8" s="73" t="s">
        <v>2597</v>
      </c>
    </row>
    <row r="9" spans="1:10" s="2" customFormat="1" ht="13.5" customHeight="1">
      <c r="A9" s="383" t="s">
        <v>1434</v>
      </c>
      <c r="B9" s="383"/>
      <c r="C9" s="383"/>
      <c r="D9" s="383"/>
      <c r="E9" s="383"/>
      <c r="F9" s="383"/>
      <c r="G9" s="19">
        <v>126</v>
      </c>
      <c r="H9" s="20"/>
      <c r="I9" s="71"/>
      <c r="J9" s="71"/>
    </row>
    <row r="10" spans="1:10" s="2" customFormat="1" ht="13.5" customHeight="1">
      <c r="A10" s="383" t="s">
        <v>730</v>
      </c>
      <c r="B10" s="383"/>
      <c r="C10" s="383"/>
      <c r="D10" s="383"/>
      <c r="E10" s="383"/>
      <c r="F10" s="383"/>
      <c r="G10" s="19">
        <v>127</v>
      </c>
      <c r="H10" s="20"/>
      <c r="I10" s="71">
        <v>390270</v>
      </c>
      <c r="J10" s="71">
        <v>476479</v>
      </c>
    </row>
    <row r="11" spans="1:10" s="2" customFormat="1" ht="13.5" customHeight="1">
      <c r="A11" s="383" t="s">
        <v>1435</v>
      </c>
      <c r="B11" s="383"/>
      <c r="C11" s="383"/>
      <c r="D11" s="383"/>
      <c r="E11" s="383"/>
      <c r="F11" s="383"/>
      <c r="G11" s="19">
        <v>128</v>
      </c>
      <c r="H11" s="20"/>
      <c r="I11" s="71"/>
      <c r="J11" s="71"/>
    </row>
    <row r="12" spans="1:10" s="2" customFormat="1" ht="13.5" customHeight="1">
      <c r="A12" s="383" t="s">
        <v>1436</v>
      </c>
      <c r="B12" s="383"/>
      <c r="C12" s="383"/>
      <c r="D12" s="383"/>
      <c r="E12" s="383"/>
      <c r="F12" s="383"/>
      <c r="G12" s="19">
        <v>129</v>
      </c>
      <c r="H12" s="20"/>
      <c r="I12" s="71"/>
      <c r="J12" s="71"/>
    </row>
    <row r="13" spans="1:10" s="2" customFormat="1" ht="13.5" customHeight="1">
      <c r="A13" s="383" t="s">
        <v>2510</v>
      </c>
      <c r="B13" s="383"/>
      <c r="C13" s="383"/>
      <c r="D13" s="383"/>
      <c r="E13" s="383"/>
      <c r="F13" s="383"/>
      <c r="G13" s="19">
        <v>130</v>
      </c>
      <c r="H13" s="20"/>
      <c r="I13" s="71">
        <v>1062160</v>
      </c>
      <c r="J13" s="71">
        <v>1062160</v>
      </c>
    </row>
    <row r="14" spans="1:10" s="2" customFormat="1" ht="13.5" customHeight="1">
      <c r="A14" s="381" t="s">
        <v>1837</v>
      </c>
      <c r="B14" s="381"/>
      <c r="C14" s="381"/>
      <c r="D14" s="381"/>
      <c r="E14" s="381"/>
      <c r="F14" s="381"/>
      <c r="G14" s="19">
        <v>131</v>
      </c>
      <c r="H14" s="20"/>
      <c r="I14" s="70">
        <f>I15+I16+I20+I24+I25+I26+I29+I36</f>
        <v>1460684</v>
      </c>
      <c r="J14" s="70">
        <f>J15+J16+J20+J24+J25+J26+J29+J36</f>
        <v>1515238</v>
      </c>
    </row>
    <row r="15" spans="1:12" s="2" customFormat="1" ht="13.5" customHeight="1">
      <c r="A15" s="383" t="s">
        <v>258</v>
      </c>
      <c r="B15" s="383"/>
      <c r="C15" s="383"/>
      <c r="D15" s="383"/>
      <c r="E15" s="383"/>
      <c r="F15" s="383"/>
      <c r="G15" s="19">
        <v>132</v>
      </c>
      <c r="H15" s="20"/>
      <c r="I15" s="71"/>
      <c r="J15" s="71"/>
      <c r="L15" s="2" t="s">
        <v>2591</v>
      </c>
    </row>
    <row r="16" spans="1:10" s="2" customFormat="1" ht="13.5" customHeight="1">
      <c r="A16" s="383" t="s">
        <v>1838</v>
      </c>
      <c r="B16" s="383"/>
      <c r="C16" s="383"/>
      <c r="D16" s="383"/>
      <c r="E16" s="383"/>
      <c r="F16" s="383"/>
      <c r="G16" s="19">
        <v>133</v>
      </c>
      <c r="H16" s="20"/>
      <c r="I16" s="70">
        <f>SUM(I17:I19)</f>
        <v>149698</v>
      </c>
      <c r="J16" s="70">
        <f>SUM(J17:J19)</f>
        <v>196894</v>
      </c>
    </row>
    <row r="17" spans="1:10" s="2" customFormat="1" ht="13.5" customHeight="1">
      <c r="A17" s="409" t="s">
        <v>504</v>
      </c>
      <c r="B17" s="409"/>
      <c r="C17" s="409"/>
      <c r="D17" s="409"/>
      <c r="E17" s="409"/>
      <c r="F17" s="409"/>
      <c r="G17" s="19">
        <v>134</v>
      </c>
      <c r="H17" s="20"/>
      <c r="I17" s="71">
        <v>80917</v>
      </c>
      <c r="J17" s="71">
        <v>118182</v>
      </c>
    </row>
    <row r="18" spans="1:10" s="2" customFormat="1" ht="13.5" customHeight="1">
      <c r="A18" s="409" t="s">
        <v>505</v>
      </c>
      <c r="B18" s="409"/>
      <c r="C18" s="409"/>
      <c r="D18" s="409"/>
      <c r="E18" s="409"/>
      <c r="F18" s="409"/>
      <c r="G18" s="19">
        <v>135</v>
      </c>
      <c r="H18" s="20"/>
      <c r="I18" s="71"/>
      <c r="J18" s="71"/>
    </row>
    <row r="19" spans="1:10" s="2" customFormat="1" ht="13.5" customHeight="1">
      <c r="A19" s="409" t="s">
        <v>1426</v>
      </c>
      <c r="B19" s="409"/>
      <c r="C19" s="409"/>
      <c r="D19" s="409"/>
      <c r="E19" s="409"/>
      <c r="F19" s="409"/>
      <c r="G19" s="19">
        <v>136</v>
      </c>
      <c r="H19" s="20"/>
      <c r="I19" s="71">
        <v>68781</v>
      </c>
      <c r="J19" s="71">
        <v>78712</v>
      </c>
    </row>
    <row r="20" spans="1:10" s="2" customFormat="1" ht="13.5" customHeight="1">
      <c r="A20" s="383" t="s">
        <v>1839</v>
      </c>
      <c r="B20" s="383"/>
      <c r="C20" s="383"/>
      <c r="D20" s="383"/>
      <c r="E20" s="383"/>
      <c r="F20" s="383"/>
      <c r="G20" s="19">
        <v>137</v>
      </c>
      <c r="H20" s="20"/>
      <c r="I20" s="70">
        <f>SUM(I21:I23)</f>
        <v>204631</v>
      </c>
      <c r="J20" s="70">
        <f>SUM(J21:J23)</f>
        <v>219203</v>
      </c>
    </row>
    <row r="21" spans="1:10" s="2" customFormat="1" ht="13.5" customHeight="1">
      <c r="A21" s="409" t="s">
        <v>724</v>
      </c>
      <c r="B21" s="409"/>
      <c r="C21" s="409"/>
      <c r="D21" s="409"/>
      <c r="E21" s="409"/>
      <c r="F21" s="409"/>
      <c r="G21" s="19">
        <v>138</v>
      </c>
      <c r="H21" s="20"/>
      <c r="I21" s="71">
        <v>133960</v>
      </c>
      <c r="J21" s="71">
        <v>146414</v>
      </c>
    </row>
    <row r="22" spans="1:10" s="2" customFormat="1" ht="13.5" customHeight="1">
      <c r="A22" s="409" t="s">
        <v>961</v>
      </c>
      <c r="B22" s="409"/>
      <c r="C22" s="409"/>
      <c r="D22" s="409"/>
      <c r="E22" s="409"/>
      <c r="F22" s="409"/>
      <c r="G22" s="19">
        <v>139</v>
      </c>
      <c r="H22" s="20"/>
      <c r="I22" s="71">
        <v>40640</v>
      </c>
      <c r="J22" s="71">
        <v>40619</v>
      </c>
    </row>
    <row r="23" spans="1:10" s="2" customFormat="1" ht="13.5" customHeight="1">
      <c r="A23" s="409" t="s">
        <v>962</v>
      </c>
      <c r="B23" s="409"/>
      <c r="C23" s="409"/>
      <c r="D23" s="409"/>
      <c r="E23" s="409"/>
      <c r="F23" s="409"/>
      <c r="G23" s="19">
        <v>140</v>
      </c>
      <c r="H23" s="20"/>
      <c r="I23" s="71">
        <v>30031</v>
      </c>
      <c r="J23" s="71">
        <v>32170</v>
      </c>
    </row>
    <row r="24" spans="1:10" s="2" customFormat="1" ht="13.5" customHeight="1">
      <c r="A24" s="383" t="s">
        <v>259</v>
      </c>
      <c r="B24" s="383"/>
      <c r="C24" s="383"/>
      <c r="D24" s="383"/>
      <c r="E24" s="383"/>
      <c r="F24" s="383"/>
      <c r="G24" s="19">
        <v>141</v>
      </c>
      <c r="H24" s="20"/>
      <c r="I24" s="71">
        <v>1080420</v>
      </c>
      <c r="J24" s="71">
        <v>1072987</v>
      </c>
    </row>
    <row r="25" spans="1:10" s="2" customFormat="1" ht="13.5" customHeight="1">
      <c r="A25" s="383" t="s">
        <v>260</v>
      </c>
      <c r="B25" s="383"/>
      <c r="C25" s="383"/>
      <c r="D25" s="383"/>
      <c r="E25" s="383"/>
      <c r="F25" s="383"/>
      <c r="G25" s="19">
        <v>142</v>
      </c>
      <c r="H25" s="20"/>
      <c r="I25" s="71">
        <v>21333</v>
      </c>
      <c r="J25" s="71">
        <v>23431</v>
      </c>
    </row>
    <row r="26" spans="1:12" s="2" customFormat="1" ht="13.5" customHeight="1">
      <c r="A26" s="383" t="s">
        <v>1840</v>
      </c>
      <c r="B26" s="383"/>
      <c r="C26" s="383"/>
      <c r="D26" s="383"/>
      <c r="E26" s="383"/>
      <c r="F26" s="383"/>
      <c r="G26" s="19">
        <v>143</v>
      </c>
      <c r="H26" s="20"/>
      <c r="I26" s="70">
        <f>SUM(I27:I28)</f>
        <v>4602</v>
      </c>
      <c r="J26" s="70">
        <f>SUM(J27:J28)</f>
        <v>2723</v>
      </c>
      <c r="L26" s="2" t="s">
        <v>2591</v>
      </c>
    </row>
    <row r="27" spans="1:12" s="2" customFormat="1" ht="13.5" customHeight="1">
      <c r="A27" s="409" t="s">
        <v>506</v>
      </c>
      <c r="B27" s="409"/>
      <c r="C27" s="409"/>
      <c r="D27" s="409"/>
      <c r="E27" s="409"/>
      <c r="F27" s="409"/>
      <c r="G27" s="19">
        <v>144</v>
      </c>
      <c r="H27" s="20"/>
      <c r="I27" s="71"/>
      <c r="J27" s="71"/>
      <c r="L27" s="2" t="s">
        <v>2591</v>
      </c>
    </row>
    <row r="28" spans="1:12" s="2" customFormat="1" ht="13.5" customHeight="1">
      <c r="A28" s="409" t="s">
        <v>507</v>
      </c>
      <c r="B28" s="409"/>
      <c r="C28" s="409"/>
      <c r="D28" s="409"/>
      <c r="E28" s="409"/>
      <c r="F28" s="409"/>
      <c r="G28" s="19">
        <v>145</v>
      </c>
      <c r="H28" s="20"/>
      <c r="I28" s="71">
        <v>4602</v>
      </c>
      <c r="J28" s="71">
        <v>2723</v>
      </c>
      <c r="L28" s="2" t="s">
        <v>2591</v>
      </c>
    </row>
    <row r="29" spans="1:12" s="2" customFormat="1" ht="13.5" customHeight="1">
      <c r="A29" s="383" t="s">
        <v>1841</v>
      </c>
      <c r="B29" s="383"/>
      <c r="C29" s="383"/>
      <c r="D29" s="383"/>
      <c r="E29" s="383"/>
      <c r="F29" s="383"/>
      <c r="G29" s="19">
        <v>146</v>
      </c>
      <c r="H29" s="20"/>
      <c r="I29" s="70">
        <f>SUM(I30:I35)</f>
        <v>0</v>
      </c>
      <c r="J29" s="70">
        <f>SUM(J30:J35)</f>
        <v>0</v>
      </c>
      <c r="L29" s="2" t="s">
        <v>2591</v>
      </c>
    </row>
    <row r="30" spans="1:12" s="2" customFormat="1" ht="13.5" customHeight="1">
      <c r="A30" s="409" t="s">
        <v>508</v>
      </c>
      <c r="B30" s="409"/>
      <c r="C30" s="409"/>
      <c r="D30" s="409"/>
      <c r="E30" s="409"/>
      <c r="F30" s="409"/>
      <c r="G30" s="19">
        <v>147</v>
      </c>
      <c r="H30" s="20"/>
      <c r="I30" s="71"/>
      <c r="J30" s="71"/>
      <c r="L30" s="2" t="s">
        <v>2591</v>
      </c>
    </row>
    <row r="31" spans="1:12" s="2" customFormat="1" ht="13.5" customHeight="1">
      <c r="A31" s="409" t="s">
        <v>509</v>
      </c>
      <c r="B31" s="409"/>
      <c r="C31" s="409"/>
      <c r="D31" s="409"/>
      <c r="E31" s="409"/>
      <c r="F31" s="409"/>
      <c r="G31" s="19">
        <v>148</v>
      </c>
      <c r="H31" s="20"/>
      <c r="I31" s="71"/>
      <c r="J31" s="71"/>
      <c r="L31" s="2" t="s">
        <v>2591</v>
      </c>
    </row>
    <row r="32" spans="1:12" s="2" customFormat="1" ht="13.5" customHeight="1">
      <c r="A32" s="409" t="s">
        <v>510</v>
      </c>
      <c r="B32" s="409"/>
      <c r="C32" s="409"/>
      <c r="D32" s="409"/>
      <c r="E32" s="409"/>
      <c r="F32" s="409"/>
      <c r="G32" s="19">
        <v>149</v>
      </c>
      <c r="H32" s="20"/>
      <c r="I32" s="71"/>
      <c r="J32" s="71"/>
      <c r="L32" s="2" t="s">
        <v>2591</v>
      </c>
    </row>
    <row r="33" spans="1:12" s="2" customFormat="1" ht="13.5" customHeight="1">
      <c r="A33" s="409" t="s">
        <v>511</v>
      </c>
      <c r="B33" s="409"/>
      <c r="C33" s="409"/>
      <c r="D33" s="409"/>
      <c r="E33" s="409"/>
      <c r="F33" s="409"/>
      <c r="G33" s="19">
        <v>150</v>
      </c>
      <c r="H33" s="20"/>
      <c r="I33" s="71"/>
      <c r="J33" s="71"/>
      <c r="L33" s="2" t="s">
        <v>2591</v>
      </c>
    </row>
    <row r="34" spans="1:12" s="2" customFormat="1" ht="13.5" customHeight="1">
      <c r="A34" s="409" t="s">
        <v>512</v>
      </c>
      <c r="B34" s="409"/>
      <c r="C34" s="409"/>
      <c r="D34" s="409"/>
      <c r="E34" s="409"/>
      <c r="F34" s="409"/>
      <c r="G34" s="19">
        <v>151</v>
      </c>
      <c r="H34" s="20"/>
      <c r="I34" s="71"/>
      <c r="J34" s="71"/>
      <c r="L34" s="2" t="s">
        <v>2591</v>
      </c>
    </row>
    <row r="35" spans="1:12" s="2" customFormat="1" ht="13.5" customHeight="1">
      <c r="A35" s="409" t="s">
        <v>513</v>
      </c>
      <c r="B35" s="409"/>
      <c r="C35" s="409"/>
      <c r="D35" s="409"/>
      <c r="E35" s="409"/>
      <c r="F35" s="409"/>
      <c r="G35" s="19">
        <v>152</v>
      </c>
      <c r="H35" s="20"/>
      <c r="I35" s="71"/>
      <c r="J35" s="71"/>
      <c r="L35" s="2" t="s">
        <v>2591</v>
      </c>
    </row>
    <row r="36" spans="1:10" s="2" customFormat="1" ht="13.5" customHeight="1">
      <c r="A36" s="383" t="s">
        <v>1692</v>
      </c>
      <c r="B36" s="383"/>
      <c r="C36" s="383"/>
      <c r="D36" s="383"/>
      <c r="E36" s="383"/>
      <c r="F36" s="383"/>
      <c r="G36" s="19">
        <v>153</v>
      </c>
      <c r="H36" s="20"/>
      <c r="I36" s="71"/>
      <c r="J36" s="71"/>
    </row>
    <row r="37" spans="1:10" s="2" customFormat="1" ht="13.5" customHeight="1">
      <c r="A37" s="381" t="s">
        <v>1842</v>
      </c>
      <c r="B37" s="381"/>
      <c r="C37" s="381"/>
      <c r="D37" s="381"/>
      <c r="E37" s="381"/>
      <c r="F37" s="381"/>
      <c r="G37" s="19">
        <v>154</v>
      </c>
      <c r="H37" s="20"/>
      <c r="I37" s="70">
        <f>SUM(I38:I47)</f>
        <v>3334</v>
      </c>
      <c r="J37" s="70">
        <f>SUM(J38:J47)</f>
        <v>3427</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c r="I44" s="71">
        <v>461</v>
      </c>
      <c r="J44" s="71">
        <v>73</v>
      </c>
    </row>
    <row r="45" spans="1:10" s="2" customFormat="1" ht="13.5" customHeight="1">
      <c r="A45" s="383" t="s">
        <v>1428</v>
      </c>
      <c r="B45" s="383"/>
      <c r="C45" s="383"/>
      <c r="D45" s="383"/>
      <c r="E45" s="383"/>
      <c r="F45" s="383"/>
      <c r="G45" s="19">
        <v>162</v>
      </c>
      <c r="H45" s="20"/>
      <c r="I45" s="71"/>
      <c r="J45" s="71">
        <v>1</v>
      </c>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v>2873</v>
      </c>
      <c r="J47" s="71">
        <v>3353</v>
      </c>
    </row>
    <row r="48" spans="1:10" s="2" customFormat="1" ht="13.5" customHeight="1">
      <c r="A48" s="381" t="s">
        <v>1843</v>
      </c>
      <c r="B48" s="381"/>
      <c r="C48" s="381"/>
      <c r="D48" s="381"/>
      <c r="E48" s="381"/>
      <c r="F48" s="381"/>
      <c r="G48" s="19">
        <v>165</v>
      </c>
      <c r="H48" s="20"/>
      <c r="I48" s="70">
        <f>SUM(I49:I55)</f>
        <v>10934</v>
      </c>
      <c r="J48" s="70">
        <f>SUM(J49:J55)</f>
        <v>258</v>
      </c>
    </row>
    <row r="49" spans="1:10" s="2" customFormat="1" ht="13.5" customHeight="1">
      <c r="A49" s="383" t="s">
        <v>1424</v>
      </c>
      <c r="B49" s="383"/>
      <c r="C49" s="383"/>
      <c r="D49" s="383"/>
      <c r="E49" s="383"/>
      <c r="F49" s="383"/>
      <c r="G49" s="19">
        <v>166</v>
      </c>
      <c r="H49" s="20"/>
      <c r="I49" s="71"/>
      <c r="J49" s="71"/>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c r="I51" s="71">
        <v>3</v>
      </c>
      <c r="J51" s="71"/>
    </row>
    <row r="52" spans="1:10" s="2" customFormat="1" ht="13.5" customHeight="1">
      <c r="A52" s="403" t="s">
        <v>1439</v>
      </c>
      <c r="B52" s="403"/>
      <c r="C52" s="403"/>
      <c r="D52" s="403"/>
      <c r="E52" s="403"/>
      <c r="F52" s="403"/>
      <c r="G52" s="19">
        <v>169</v>
      </c>
      <c r="H52" s="20"/>
      <c r="I52" s="71"/>
      <c r="J52" s="71">
        <v>1</v>
      </c>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2591</v>
      </c>
    </row>
    <row r="55" spans="1:10" s="2" customFormat="1" ht="13.5" customHeight="1">
      <c r="A55" s="403" t="s">
        <v>1442</v>
      </c>
      <c r="B55" s="403"/>
      <c r="C55" s="403"/>
      <c r="D55" s="403"/>
      <c r="E55" s="403"/>
      <c r="F55" s="403"/>
      <c r="G55" s="19">
        <v>172</v>
      </c>
      <c r="H55" s="20"/>
      <c r="I55" s="71">
        <v>10931</v>
      </c>
      <c r="J55" s="71">
        <v>257</v>
      </c>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c r="I60" s="70">
        <f>I8+I37+I56+I57</f>
        <v>1455764</v>
      </c>
      <c r="J60" s="70">
        <f>J8+J37+J56+J57</f>
        <v>1542066</v>
      </c>
    </row>
    <row r="61" spans="1:10" s="2" customFormat="1" ht="13.5" customHeight="1">
      <c r="A61" s="381" t="s">
        <v>1845</v>
      </c>
      <c r="B61" s="381"/>
      <c r="C61" s="381"/>
      <c r="D61" s="381"/>
      <c r="E61" s="381"/>
      <c r="F61" s="381"/>
      <c r="G61" s="19">
        <v>178</v>
      </c>
      <c r="H61" s="20"/>
      <c r="I61" s="70">
        <f>I14+I48+I58+I59</f>
        <v>1471618</v>
      </c>
      <c r="J61" s="70">
        <f>J14+J48+J58+J59</f>
        <v>1515496</v>
      </c>
    </row>
    <row r="62" spans="1:12" s="2" customFormat="1" ht="13.5" customHeight="1">
      <c r="A62" s="381" t="s">
        <v>2581</v>
      </c>
      <c r="B62" s="381"/>
      <c r="C62" s="381"/>
      <c r="D62" s="381"/>
      <c r="E62" s="381"/>
      <c r="F62" s="381"/>
      <c r="G62" s="19">
        <v>179</v>
      </c>
      <c r="H62" s="20"/>
      <c r="I62" s="70">
        <f>I60-I61</f>
        <v>-15854</v>
      </c>
      <c r="J62" s="70">
        <f>J60-J61</f>
        <v>26570</v>
      </c>
      <c r="L62" s="2" t="s">
        <v>2591</v>
      </c>
    </row>
    <row r="63" spans="1:10" s="2" customFormat="1" ht="13.5" customHeight="1">
      <c r="A63" s="403" t="s">
        <v>2658</v>
      </c>
      <c r="B63" s="403"/>
      <c r="C63" s="403"/>
      <c r="D63" s="403"/>
      <c r="E63" s="403"/>
      <c r="F63" s="403"/>
      <c r="G63" s="19">
        <v>180</v>
      </c>
      <c r="H63" s="20"/>
      <c r="I63" s="70">
        <f>IF(I60&gt;I61,I60-I61,0)</f>
        <v>0</v>
      </c>
      <c r="J63" s="70">
        <f>IF(J60&gt;J61,J60-J61,0)</f>
        <v>26570</v>
      </c>
    </row>
    <row r="64" spans="1:10" s="2" customFormat="1" ht="13.5" customHeight="1">
      <c r="A64" s="403" t="s">
        <v>778</v>
      </c>
      <c r="B64" s="403"/>
      <c r="C64" s="403"/>
      <c r="D64" s="403"/>
      <c r="E64" s="403"/>
      <c r="F64" s="403"/>
      <c r="G64" s="19">
        <v>181</v>
      </c>
      <c r="H64" s="20"/>
      <c r="I64" s="70">
        <f>IF(I61&gt;I60,I61-I60,0)</f>
        <v>15854</v>
      </c>
      <c r="J64" s="70">
        <f>IF(J61&gt;J60,J61-J60,0)</f>
        <v>0</v>
      </c>
    </row>
    <row r="65" spans="1:12" s="2" customFormat="1" ht="13.5" customHeight="1">
      <c r="A65" s="381" t="s">
        <v>2620</v>
      </c>
      <c r="B65" s="381"/>
      <c r="C65" s="381"/>
      <c r="D65" s="381"/>
      <c r="E65" s="381"/>
      <c r="F65" s="381"/>
      <c r="G65" s="19">
        <v>182</v>
      </c>
      <c r="H65" s="20"/>
      <c r="I65" s="71"/>
      <c r="J65" s="71">
        <v>2631</v>
      </c>
      <c r="L65" s="2" t="s">
        <v>2591</v>
      </c>
    </row>
    <row r="66" spans="1:12" s="2" customFormat="1" ht="13.5" customHeight="1">
      <c r="A66" s="381" t="s">
        <v>2582</v>
      </c>
      <c r="B66" s="381"/>
      <c r="C66" s="381"/>
      <c r="D66" s="381"/>
      <c r="E66" s="381"/>
      <c r="F66" s="381"/>
      <c r="G66" s="19">
        <v>183</v>
      </c>
      <c r="H66" s="20"/>
      <c r="I66" s="70">
        <f>I62-I65</f>
        <v>-15854</v>
      </c>
      <c r="J66" s="70">
        <f>J62-J65</f>
        <v>23939</v>
      </c>
      <c r="L66" s="2" t="s">
        <v>2591</v>
      </c>
    </row>
    <row r="67" spans="1:10" s="2" customFormat="1" ht="13.5" customHeight="1">
      <c r="A67" s="403" t="s">
        <v>779</v>
      </c>
      <c r="B67" s="403"/>
      <c r="C67" s="403"/>
      <c r="D67" s="403"/>
      <c r="E67" s="403"/>
      <c r="F67" s="403"/>
      <c r="G67" s="19">
        <v>184</v>
      </c>
      <c r="H67" s="20"/>
      <c r="I67" s="70">
        <f>IF(I66&gt;0,I66,0)</f>
        <v>0</v>
      </c>
      <c r="J67" s="70">
        <f>IF(J66&gt;0,J66,0)</f>
        <v>23939</v>
      </c>
    </row>
    <row r="68" spans="1:10" s="2" customFormat="1" ht="13.5" customHeight="1">
      <c r="A68" s="404" t="s">
        <v>1472</v>
      </c>
      <c r="B68" s="404"/>
      <c r="C68" s="404"/>
      <c r="D68" s="404"/>
      <c r="E68" s="404"/>
      <c r="F68" s="404"/>
      <c r="G68" s="21">
        <v>185</v>
      </c>
      <c r="H68" s="22"/>
      <c r="I68" s="85">
        <f>IF(I66&lt;0,-I66,0)</f>
        <v>15854</v>
      </c>
      <c r="J68" s="85">
        <f>IF(J66&lt;0,-J66,0)</f>
        <v>0</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2591</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2591</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2591</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2591</v>
      </c>
    </row>
    <row r="81" spans="1:12" s="2" customFormat="1" ht="13.5" customHeight="1">
      <c r="A81" s="381" t="s">
        <v>2009</v>
      </c>
      <c r="B81" s="381"/>
      <c r="C81" s="381"/>
      <c r="D81" s="381"/>
      <c r="E81" s="381"/>
      <c r="F81" s="381"/>
      <c r="G81" s="19">
        <v>196</v>
      </c>
      <c r="H81" s="20"/>
      <c r="I81" s="70">
        <f>I82-I83</f>
        <v>0</v>
      </c>
      <c r="J81" s="70">
        <f>J82-J83</f>
        <v>0</v>
      </c>
      <c r="L81" s="2" t="s">
        <v>2591</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2852</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2591</v>
      </c>
    </row>
    <row r="86" spans="1:12" s="2" customFormat="1" ht="13.5" customHeight="1">
      <c r="A86" s="419" t="s">
        <v>2061</v>
      </c>
      <c r="B86" s="419"/>
      <c r="C86" s="419"/>
      <c r="D86" s="419"/>
      <c r="E86" s="419"/>
      <c r="F86" s="419"/>
      <c r="G86" s="19">
        <v>200</v>
      </c>
      <c r="H86" s="20"/>
      <c r="I86" s="77"/>
      <c r="J86" s="77"/>
      <c r="L86" s="2" t="s">
        <v>2591</v>
      </c>
    </row>
    <row r="87" spans="1:12" s="2" customFormat="1" ht="13.5" customHeight="1">
      <c r="A87" s="420" t="s">
        <v>1102</v>
      </c>
      <c r="B87" s="420"/>
      <c r="C87" s="420"/>
      <c r="D87" s="420"/>
      <c r="E87" s="420"/>
      <c r="F87" s="420"/>
      <c r="G87" s="21">
        <v>201</v>
      </c>
      <c r="H87" s="22"/>
      <c r="I87" s="78"/>
      <c r="J87" s="78"/>
      <c r="L87" s="2" t="s">
        <v>2591</v>
      </c>
    </row>
    <row r="88" spans="1:10" s="2" customFormat="1" ht="15" customHeight="1">
      <c r="A88" s="417" t="s">
        <v>656</v>
      </c>
      <c r="B88" s="417"/>
      <c r="C88" s="417"/>
      <c r="D88" s="417"/>
      <c r="E88" s="417"/>
      <c r="F88" s="417"/>
      <c r="G88" s="418"/>
      <c r="H88" s="418"/>
      <c r="I88" s="418"/>
      <c r="J88" s="418"/>
    </row>
    <row r="89" spans="1:12" s="2" customFormat="1" ht="13.5" customHeight="1">
      <c r="A89" s="406" t="s">
        <v>1448</v>
      </c>
      <c r="B89" s="406"/>
      <c r="C89" s="406"/>
      <c r="D89" s="406"/>
      <c r="E89" s="406"/>
      <c r="F89" s="406"/>
      <c r="G89" s="19">
        <v>202</v>
      </c>
      <c r="H89" s="20"/>
      <c r="I89" s="77"/>
      <c r="J89" s="77"/>
      <c r="L89" s="2" t="s">
        <v>2591</v>
      </c>
    </row>
    <row r="90" spans="1:12" s="2" customFormat="1" ht="25.5" customHeight="1">
      <c r="A90" s="406" t="s">
        <v>1473</v>
      </c>
      <c r="B90" s="406"/>
      <c r="C90" s="406"/>
      <c r="D90" s="406"/>
      <c r="E90" s="406"/>
      <c r="F90" s="406"/>
      <c r="G90" s="19">
        <v>203</v>
      </c>
      <c r="H90" s="20"/>
      <c r="I90" s="86">
        <f>SUM(I91:I98)</f>
        <v>0</v>
      </c>
      <c r="J90" s="86">
        <f>SUM(J91:J98)</f>
        <v>0</v>
      </c>
      <c r="L90" s="2" t="s">
        <v>2591</v>
      </c>
    </row>
    <row r="91" spans="1:12" s="2" customFormat="1" ht="13.5" customHeight="1">
      <c r="A91" s="403" t="s">
        <v>2062</v>
      </c>
      <c r="B91" s="403"/>
      <c r="C91" s="403"/>
      <c r="D91" s="403"/>
      <c r="E91" s="403"/>
      <c r="F91" s="403"/>
      <c r="G91" s="19">
        <v>204</v>
      </c>
      <c r="H91" s="20"/>
      <c r="I91" s="77"/>
      <c r="J91" s="77"/>
      <c r="L91" s="2" t="s">
        <v>2591</v>
      </c>
    </row>
    <row r="92" spans="1:12" s="2" customFormat="1" ht="25.5" customHeight="1">
      <c r="A92" s="403" t="s">
        <v>2063</v>
      </c>
      <c r="B92" s="403"/>
      <c r="C92" s="403"/>
      <c r="D92" s="403"/>
      <c r="E92" s="403"/>
      <c r="F92" s="403"/>
      <c r="G92" s="19">
        <v>205</v>
      </c>
      <c r="H92" s="20"/>
      <c r="I92" s="77"/>
      <c r="J92" s="77"/>
      <c r="L92" s="2" t="s">
        <v>2591</v>
      </c>
    </row>
    <row r="93" spans="1:12" s="2" customFormat="1" ht="26.25" customHeight="1">
      <c r="A93" s="403" t="s">
        <v>2064</v>
      </c>
      <c r="B93" s="403"/>
      <c r="C93" s="403"/>
      <c r="D93" s="403"/>
      <c r="E93" s="403"/>
      <c r="F93" s="403"/>
      <c r="G93" s="19">
        <v>206</v>
      </c>
      <c r="H93" s="20"/>
      <c r="I93" s="77"/>
      <c r="J93" s="77"/>
      <c r="L93" s="2" t="s">
        <v>2591</v>
      </c>
    </row>
    <row r="94" spans="1:12" s="2" customFormat="1" ht="13.5" customHeight="1">
      <c r="A94" s="403" t="s">
        <v>2065</v>
      </c>
      <c r="B94" s="403"/>
      <c r="C94" s="403"/>
      <c r="D94" s="403"/>
      <c r="E94" s="403"/>
      <c r="F94" s="403"/>
      <c r="G94" s="19">
        <v>207</v>
      </c>
      <c r="H94" s="20"/>
      <c r="I94" s="77"/>
      <c r="J94" s="77"/>
      <c r="L94" s="2" t="s">
        <v>2591</v>
      </c>
    </row>
    <row r="95" spans="1:12" s="2" customFormat="1" ht="13.5" customHeight="1">
      <c r="A95" s="403" t="s">
        <v>2066</v>
      </c>
      <c r="B95" s="403"/>
      <c r="C95" s="403"/>
      <c r="D95" s="403"/>
      <c r="E95" s="403"/>
      <c r="F95" s="403"/>
      <c r="G95" s="19">
        <v>208</v>
      </c>
      <c r="H95" s="20"/>
      <c r="I95" s="77"/>
      <c r="J95" s="77"/>
      <c r="L95" s="2" t="s">
        <v>2591</v>
      </c>
    </row>
    <row r="96" spans="1:12" s="2" customFormat="1" ht="25.5" customHeight="1">
      <c r="A96" s="403" t="s">
        <v>2067</v>
      </c>
      <c r="B96" s="403"/>
      <c r="C96" s="403"/>
      <c r="D96" s="403"/>
      <c r="E96" s="403"/>
      <c r="F96" s="403"/>
      <c r="G96" s="19">
        <v>209</v>
      </c>
      <c r="H96" s="20"/>
      <c r="I96" s="77"/>
      <c r="J96" s="77"/>
      <c r="L96" s="2" t="s">
        <v>2591</v>
      </c>
    </row>
    <row r="97" spans="1:12" s="2" customFormat="1" ht="13.5" customHeight="1">
      <c r="A97" s="403" t="s">
        <v>759</v>
      </c>
      <c r="B97" s="403"/>
      <c r="C97" s="403"/>
      <c r="D97" s="403"/>
      <c r="E97" s="403"/>
      <c r="F97" s="403"/>
      <c r="G97" s="19">
        <v>210</v>
      </c>
      <c r="H97" s="20"/>
      <c r="I97" s="77"/>
      <c r="J97" s="77"/>
      <c r="L97" s="2" t="s">
        <v>2591</v>
      </c>
    </row>
    <row r="98" spans="1:12" s="2" customFormat="1" ht="13.5" customHeight="1">
      <c r="A98" s="403" t="s">
        <v>1449</v>
      </c>
      <c r="B98" s="403"/>
      <c r="C98" s="403"/>
      <c r="D98" s="403"/>
      <c r="E98" s="403"/>
      <c r="F98" s="403"/>
      <c r="G98" s="19">
        <v>211</v>
      </c>
      <c r="H98" s="20"/>
      <c r="I98" s="77"/>
      <c r="J98" s="77"/>
      <c r="L98" s="2" t="s">
        <v>2591</v>
      </c>
    </row>
    <row r="99" spans="1:12" s="2" customFormat="1" ht="13.5" customHeight="1">
      <c r="A99" s="406" t="s">
        <v>2621</v>
      </c>
      <c r="B99" s="406"/>
      <c r="C99" s="406"/>
      <c r="D99" s="406"/>
      <c r="E99" s="406"/>
      <c r="F99" s="406"/>
      <c r="G99" s="19">
        <v>212</v>
      </c>
      <c r="H99" s="20"/>
      <c r="I99" s="77"/>
      <c r="J99" s="77"/>
      <c r="L99" s="2" t="s">
        <v>2591</v>
      </c>
    </row>
    <row r="100" spans="1:12" s="2" customFormat="1" ht="15" customHeight="1">
      <c r="A100" s="406" t="s">
        <v>1474</v>
      </c>
      <c r="B100" s="406"/>
      <c r="C100" s="406"/>
      <c r="D100" s="406"/>
      <c r="E100" s="406"/>
      <c r="F100" s="406"/>
      <c r="G100" s="19">
        <v>213</v>
      </c>
      <c r="H100" s="20"/>
      <c r="I100" s="86">
        <f>I90-I99</f>
        <v>0</v>
      </c>
      <c r="J100" s="86">
        <f>J90-J99</f>
        <v>0</v>
      </c>
      <c r="L100" s="2" t="s">
        <v>2591</v>
      </c>
    </row>
    <row r="101" spans="1:12" s="2" customFormat="1" ht="13.5" customHeight="1">
      <c r="A101" s="421" t="s">
        <v>1475</v>
      </c>
      <c r="B101" s="421"/>
      <c r="C101" s="421"/>
      <c r="D101" s="421"/>
      <c r="E101" s="421"/>
      <c r="F101" s="421"/>
      <c r="G101" s="21">
        <v>214</v>
      </c>
      <c r="H101" s="22"/>
      <c r="I101" s="87">
        <f>I89+I100</f>
        <v>0</v>
      </c>
      <c r="J101" s="87">
        <f>J89+J100</f>
        <v>0</v>
      </c>
      <c r="L101" s="2" t="s">
        <v>2591</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2591</v>
      </c>
    </row>
    <row r="104" spans="1:12" s="2" customFormat="1" ht="13.5" customHeight="1">
      <c r="A104" s="419" t="s">
        <v>2622</v>
      </c>
      <c r="B104" s="419"/>
      <c r="C104" s="419"/>
      <c r="D104" s="419"/>
      <c r="E104" s="419"/>
      <c r="F104" s="419"/>
      <c r="G104" s="19">
        <v>216</v>
      </c>
      <c r="H104" s="20"/>
      <c r="I104" s="77"/>
      <c r="J104" s="77"/>
      <c r="L104" s="2" t="s">
        <v>2591</v>
      </c>
    </row>
    <row r="105" spans="1:12" s="2" customFormat="1" ht="13.5" customHeight="1">
      <c r="A105" s="420" t="s">
        <v>1450</v>
      </c>
      <c r="B105" s="420"/>
      <c r="C105" s="420"/>
      <c r="D105" s="420"/>
      <c r="E105" s="420"/>
      <c r="F105" s="420"/>
      <c r="G105" s="21">
        <v>217</v>
      </c>
      <c r="H105" s="22"/>
      <c r="I105" s="78"/>
      <c r="J105" s="78"/>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4:F24"/>
    <mergeCell ref="A25:F25"/>
    <mergeCell ref="A20:F20"/>
    <mergeCell ref="A21:F21"/>
    <mergeCell ref="A28:F28"/>
    <mergeCell ref="A29:F29"/>
    <mergeCell ref="A13:F13"/>
    <mergeCell ref="A88:J88"/>
    <mergeCell ref="A18:F18"/>
    <mergeCell ref="A19:F19"/>
    <mergeCell ref="A26:F26"/>
    <mergeCell ref="A27:F27"/>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tabSelected="1" zoomScalePageLayoutView="0" workbookViewId="0" topLeftCell="A1">
      <pane ySplit="1" topLeftCell="A17" activePane="bottomLeft" state="frozen"/>
      <selection pane="topLeft" activeCell="A1" sqref="A1"/>
      <selection pane="bottomLeft" activeCell="A1" sqref="A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32" t="s">
        <v>568</v>
      </c>
      <c r="B2" s="433"/>
      <c r="C2" s="433"/>
      <c r="D2" s="433"/>
      <c r="E2" s="433"/>
      <c r="F2" s="433"/>
      <c r="G2" s="433"/>
      <c r="H2" s="433"/>
      <c r="I2" s="434"/>
      <c r="J2" s="388" t="s">
        <v>2593</v>
      </c>
      <c r="Q2" s="74">
        <f>IF(MAX(I9:I88)&gt;0,1,0)</f>
        <v>1</v>
      </c>
      <c r="R2" s="73" t="s">
        <v>2586</v>
      </c>
    </row>
    <row r="3" spans="1:18" s="2" customFormat="1" ht="19.5" customHeight="1" thickBot="1">
      <c r="A3" s="435" t="str">
        <f>"za razdoblje "&amp;IF(RefStr!C4&lt;&gt;"",TEXT(RefStr!C4,"DD.MM.YYYY."),"__.__.____.")&amp;" do "&amp;IF(RefStr!F4&lt;&gt;"",TEXT(RefStr!F4,"DD.MM.YYYY."),"__.__.____.")</f>
        <v>za razdoblje 01.01.2017. do 31.12.2017.</v>
      </c>
      <c r="B3" s="436"/>
      <c r="C3" s="436"/>
      <c r="D3" s="436"/>
      <c r="E3" s="436"/>
      <c r="F3" s="436"/>
      <c r="G3" s="436"/>
      <c r="H3" s="436"/>
      <c r="I3" s="437"/>
      <c r="J3" s="422"/>
      <c r="Q3" s="74">
        <f>IF(MAX(J9:J88)&gt;0,1,0)</f>
        <v>1</v>
      </c>
      <c r="R3" s="73" t="s">
        <v>2587</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36297945940; VODOOPSKRBA d.o.o. za javnu vodoopskrbu i odvodnju</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2900</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2901</v>
      </c>
      <c r="B25" s="441"/>
      <c r="C25" s="441"/>
      <c r="D25" s="441"/>
      <c r="E25" s="441"/>
      <c r="F25" s="441"/>
      <c r="G25" s="442"/>
      <c r="H25" s="92">
        <v>231</v>
      </c>
      <c r="I25" s="94">
        <v>381038</v>
      </c>
      <c r="J25" s="94">
        <v>457140</v>
      </c>
    </row>
    <row r="26" spans="1:10" s="2" customFormat="1" ht="24.75" customHeight="1">
      <c r="A26" s="403" t="s">
        <v>2215</v>
      </c>
      <c r="B26" s="403"/>
      <c r="C26" s="403"/>
      <c r="D26" s="403"/>
      <c r="E26" s="403"/>
      <c r="F26" s="403"/>
      <c r="G26" s="443"/>
      <c r="H26" s="19">
        <v>232</v>
      </c>
      <c r="I26" s="77">
        <v>9232</v>
      </c>
      <c r="J26" s="77">
        <v>9815</v>
      </c>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v>9232</v>
      </c>
      <c r="J28" s="77">
        <v>9815</v>
      </c>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v>9524</v>
      </c>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2216</v>
      </c>
      <c r="B33" s="403"/>
      <c r="C33" s="403"/>
      <c r="D33" s="403"/>
      <c r="E33" s="403"/>
      <c r="F33" s="403"/>
      <c r="G33" s="443"/>
      <c r="H33" s="19">
        <v>239</v>
      </c>
      <c r="I33" s="77"/>
      <c r="J33" s="77"/>
    </row>
    <row r="34" spans="1:10" s="2" customFormat="1" ht="36" customHeight="1">
      <c r="A34" s="403" t="s">
        <v>2217</v>
      </c>
      <c r="B34" s="403"/>
      <c r="C34" s="403"/>
      <c r="D34" s="403"/>
      <c r="E34" s="403"/>
      <c r="F34" s="403"/>
      <c r="G34" s="443"/>
      <c r="H34" s="19">
        <v>240</v>
      </c>
      <c r="I34" s="77"/>
      <c r="J34" s="77"/>
    </row>
    <row r="35" spans="1:10" s="2" customFormat="1" ht="36" customHeight="1">
      <c r="A35" s="404" t="s">
        <v>273</v>
      </c>
      <c r="B35" s="404"/>
      <c r="C35" s="404"/>
      <c r="D35" s="404"/>
      <c r="E35" s="404"/>
      <c r="F35" s="404"/>
      <c r="G35" s="448"/>
      <c r="H35" s="21">
        <v>241</v>
      </c>
      <c r="I35" s="78"/>
      <c r="J35" s="78"/>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v>390270</v>
      </c>
      <c r="J37" s="94">
        <v>476479</v>
      </c>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2902</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2218</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c r="J43" s="77"/>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c r="J45" s="77"/>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c r="J47" s="78"/>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v>53865</v>
      </c>
      <c r="J50" s="77">
        <v>62943</v>
      </c>
    </row>
    <row r="51" spans="1:10" s="2" customFormat="1" ht="24.75" customHeight="1">
      <c r="A51" s="403" t="s">
        <v>2219</v>
      </c>
      <c r="B51" s="403"/>
      <c r="C51" s="403"/>
      <c r="D51" s="403"/>
      <c r="E51" s="403"/>
      <c r="F51" s="403"/>
      <c r="G51" s="443"/>
      <c r="H51" s="19">
        <v>253</v>
      </c>
      <c r="I51" s="77"/>
      <c r="J51" s="77"/>
    </row>
    <row r="52" spans="1:10" s="2" customFormat="1" ht="24.75" customHeight="1">
      <c r="A52" s="403" t="s">
        <v>2443</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2434</v>
      </c>
      <c r="B55" s="403"/>
      <c r="C55" s="403"/>
      <c r="D55" s="403"/>
      <c r="E55" s="403"/>
      <c r="F55" s="403"/>
      <c r="G55" s="443"/>
      <c r="H55" s="19">
        <v>257</v>
      </c>
      <c r="I55" s="77"/>
      <c r="J55" s="77"/>
    </row>
    <row r="56" spans="1:10" s="2" customFormat="1" ht="13.5" customHeight="1">
      <c r="A56" s="403" t="s">
        <v>2435</v>
      </c>
      <c r="B56" s="403"/>
      <c r="C56" s="403"/>
      <c r="D56" s="403"/>
      <c r="E56" s="403"/>
      <c r="F56" s="403"/>
      <c r="G56" s="443"/>
      <c r="H56" s="19">
        <v>258</v>
      </c>
      <c r="I56" s="77"/>
      <c r="J56" s="77"/>
    </row>
    <row r="57" spans="1:10" s="2" customFormat="1" ht="25.5" customHeight="1">
      <c r="A57" s="403" t="s">
        <v>2444</v>
      </c>
      <c r="B57" s="403"/>
      <c r="C57" s="403"/>
      <c r="D57" s="403"/>
      <c r="E57" s="403"/>
      <c r="F57" s="403"/>
      <c r="G57" s="443"/>
      <c r="H57" s="19">
        <v>259</v>
      </c>
      <c r="I57" s="77">
        <v>4252</v>
      </c>
      <c r="J57" s="77">
        <v>3445</v>
      </c>
    </row>
    <row r="58" spans="1:10" s="2" customFormat="1" ht="13.5" customHeight="1">
      <c r="A58" s="403" t="s">
        <v>2436</v>
      </c>
      <c r="B58" s="403"/>
      <c r="C58" s="403"/>
      <c r="D58" s="403"/>
      <c r="E58" s="403"/>
      <c r="F58" s="403"/>
      <c r="G58" s="443"/>
      <c r="H58" s="19">
        <v>260</v>
      </c>
      <c r="I58" s="77"/>
      <c r="J58" s="77"/>
    </row>
    <row r="59" spans="1:10" s="2" customFormat="1" ht="13.5" customHeight="1">
      <c r="A59" s="403" t="s">
        <v>2437</v>
      </c>
      <c r="B59" s="403"/>
      <c r="C59" s="403"/>
      <c r="D59" s="403"/>
      <c r="E59" s="403"/>
      <c r="F59" s="403"/>
      <c r="G59" s="443"/>
      <c r="H59" s="19">
        <v>261</v>
      </c>
      <c r="I59" s="77"/>
      <c r="J59" s="77"/>
    </row>
    <row r="60" spans="1:10" s="2" customFormat="1" ht="13.5" customHeight="1">
      <c r="A60" s="403" t="s">
        <v>2438</v>
      </c>
      <c r="B60" s="403"/>
      <c r="C60" s="403"/>
      <c r="D60" s="403"/>
      <c r="E60" s="403"/>
      <c r="F60" s="403"/>
      <c r="G60" s="443"/>
      <c r="H60" s="19">
        <v>262</v>
      </c>
      <c r="I60" s="77">
        <v>2582</v>
      </c>
      <c r="J60" s="77">
        <v>2376</v>
      </c>
    </row>
    <row r="61" spans="1:10" s="2" customFormat="1" ht="13.5" customHeight="1">
      <c r="A61" s="444" t="s">
        <v>2445</v>
      </c>
      <c r="B61" s="444"/>
      <c r="C61" s="444"/>
      <c r="D61" s="444"/>
      <c r="E61" s="444"/>
      <c r="F61" s="444"/>
      <c r="G61" s="445"/>
      <c r="H61" s="19">
        <v>263</v>
      </c>
      <c r="I61" s="77"/>
      <c r="J61" s="77"/>
    </row>
    <row r="62" spans="1:10" s="2" customFormat="1" ht="13.5" customHeight="1">
      <c r="A62" s="403" t="s">
        <v>2439</v>
      </c>
      <c r="B62" s="403"/>
      <c r="C62" s="403"/>
      <c r="D62" s="403"/>
      <c r="E62" s="403"/>
      <c r="F62" s="403"/>
      <c r="G62" s="443"/>
      <c r="H62" s="19">
        <v>264</v>
      </c>
      <c r="I62" s="77"/>
      <c r="J62" s="77">
        <v>250</v>
      </c>
    </row>
    <row r="63" spans="1:10" s="2" customFormat="1" ht="13.5" customHeight="1">
      <c r="A63" s="403" t="s">
        <v>2440</v>
      </c>
      <c r="B63" s="403"/>
      <c r="C63" s="403"/>
      <c r="D63" s="403"/>
      <c r="E63" s="403"/>
      <c r="F63" s="403"/>
      <c r="G63" s="443"/>
      <c r="H63" s="19">
        <v>265</v>
      </c>
      <c r="I63" s="77"/>
      <c r="J63" s="77"/>
    </row>
    <row r="64" spans="1:10" s="2" customFormat="1" ht="13.5" customHeight="1">
      <c r="A64" s="403" t="s">
        <v>2441</v>
      </c>
      <c r="B64" s="403"/>
      <c r="C64" s="403"/>
      <c r="D64" s="403"/>
      <c r="E64" s="403"/>
      <c r="F64" s="403"/>
      <c r="G64" s="443"/>
      <c r="H64" s="19">
        <v>266</v>
      </c>
      <c r="I64" s="77"/>
      <c r="J64" s="77"/>
    </row>
    <row r="65" spans="1:10" s="2" customFormat="1" ht="13.5" customHeight="1">
      <c r="A65" s="403" t="s">
        <v>2442</v>
      </c>
      <c r="B65" s="403"/>
      <c r="C65" s="403"/>
      <c r="D65" s="403"/>
      <c r="E65" s="403"/>
      <c r="F65" s="403"/>
      <c r="G65" s="443"/>
      <c r="H65" s="19">
        <v>267</v>
      </c>
      <c r="I65" s="77">
        <v>14088</v>
      </c>
      <c r="J65" s="77">
        <v>16691</v>
      </c>
    </row>
    <row r="66" spans="1:10" s="2" customFormat="1" ht="13.5" customHeight="1">
      <c r="A66" s="444" t="s">
        <v>2903</v>
      </c>
      <c r="B66" s="444"/>
      <c r="C66" s="444"/>
      <c r="D66" s="444"/>
      <c r="E66" s="444"/>
      <c r="F66" s="444"/>
      <c r="G66" s="445"/>
      <c r="H66" s="19">
        <v>268</v>
      </c>
      <c r="I66" s="77"/>
      <c r="J66" s="77"/>
    </row>
    <row r="67" spans="1:10" s="2" customFormat="1" ht="24.75" customHeight="1">
      <c r="A67" s="403" t="s">
        <v>2220</v>
      </c>
      <c r="B67" s="403"/>
      <c r="C67" s="403"/>
      <c r="D67" s="403"/>
      <c r="E67" s="403"/>
      <c r="F67" s="403"/>
      <c r="G67" s="443"/>
      <c r="H67" s="19">
        <v>269</v>
      </c>
      <c r="I67" s="77"/>
      <c r="J67" s="77"/>
    </row>
    <row r="68" spans="1:10" s="2" customFormat="1" ht="13.5" customHeight="1">
      <c r="A68" s="403" t="s">
        <v>2448</v>
      </c>
      <c r="B68" s="403"/>
      <c r="C68" s="403"/>
      <c r="D68" s="403"/>
      <c r="E68" s="403"/>
      <c r="F68" s="403"/>
      <c r="G68" s="443"/>
      <c r="H68" s="19">
        <v>270</v>
      </c>
      <c r="I68" s="77"/>
      <c r="J68" s="77"/>
    </row>
    <row r="69" spans="1:10" s="2" customFormat="1" ht="13.5" customHeight="1">
      <c r="A69" s="403" t="s">
        <v>2447</v>
      </c>
      <c r="B69" s="403"/>
      <c r="C69" s="403"/>
      <c r="D69" s="403"/>
      <c r="E69" s="403"/>
      <c r="F69" s="403"/>
      <c r="G69" s="443"/>
      <c r="H69" s="19">
        <v>271</v>
      </c>
      <c r="I69" s="77"/>
      <c r="J69" s="77"/>
    </row>
    <row r="70" spans="1:10" s="2" customFormat="1" ht="24.75" customHeight="1">
      <c r="A70" s="403" t="s">
        <v>2446</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v>461</v>
      </c>
      <c r="J73" s="94">
        <v>73</v>
      </c>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v>3</v>
      </c>
      <c r="J76" s="78"/>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0</v>
      </c>
      <c r="J78" s="228">
        <f>SUM(J79:J82)</f>
        <v>13772</v>
      </c>
    </row>
    <row r="79" spans="1:10" s="2" customFormat="1" ht="13.5" customHeight="1">
      <c r="A79" s="403" t="s">
        <v>629</v>
      </c>
      <c r="B79" s="403"/>
      <c r="C79" s="403"/>
      <c r="D79" s="403"/>
      <c r="E79" s="403"/>
      <c r="F79" s="403"/>
      <c r="G79" s="443"/>
      <c r="H79" s="19">
        <v>279</v>
      </c>
      <c r="I79" s="77"/>
      <c r="J79" s="77">
        <v>9524</v>
      </c>
    </row>
    <row r="80" spans="1:10" s="2" customFormat="1" ht="13.5" customHeight="1">
      <c r="A80" s="403" t="s">
        <v>630</v>
      </c>
      <c r="B80" s="403"/>
      <c r="C80" s="403"/>
      <c r="D80" s="403"/>
      <c r="E80" s="403"/>
      <c r="F80" s="403"/>
      <c r="G80" s="443"/>
      <c r="H80" s="19">
        <v>280</v>
      </c>
      <c r="I80" s="77"/>
      <c r="J80" s="77">
        <v>4248</v>
      </c>
    </row>
    <row r="81" spans="1:10" s="2" customFormat="1" ht="13.5" customHeight="1">
      <c r="A81" s="403" t="s">
        <v>1</v>
      </c>
      <c r="B81" s="403"/>
      <c r="C81" s="403"/>
      <c r="D81" s="403"/>
      <c r="E81" s="403"/>
      <c r="F81" s="403"/>
      <c r="G81" s="443"/>
      <c r="H81" s="19">
        <v>281</v>
      </c>
      <c r="I81" s="77"/>
      <c r="J81" s="77">
        <v>0</v>
      </c>
    </row>
    <row r="82" spans="1:10" s="2" customFormat="1" ht="36" customHeight="1">
      <c r="A82" s="403" t="s">
        <v>4</v>
      </c>
      <c r="B82" s="403"/>
      <c r="C82" s="403"/>
      <c r="D82" s="403"/>
      <c r="E82" s="403"/>
      <c r="F82" s="403"/>
      <c r="G82" s="443"/>
      <c r="H82" s="19">
        <v>282</v>
      </c>
      <c r="I82" s="77"/>
      <c r="J82" s="77"/>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c r="J84" s="77">
        <v>4248</v>
      </c>
    </row>
    <row r="85" spans="1:10" s="2" customFormat="1" ht="24.75" customHeight="1">
      <c r="A85" s="403" t="s">
        <v>2221</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E1" sqref="E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88" t="s">
        <v>2594</v>
      </c>
      <c r="Q2" s="74">
        <f>IF(OR(MIN(I8:I60)&lt;0,MAX(I8:I60)&gt;0),1,0)</f>
        <v>0</v>
      </c>
      <c r="R2" s="73" t="s">
        <v>2586</v>
      </c>
    </row>
    <row r="3" spans="1:18" s="2" customFormat="1" ht="19.5" customHeight="1" thickBot="1">
      <c r="A3" s="435" t="str">
        <f>"u razdoblju "&amp;IF(RefStr!C4&lt;&gt;"",TEXT(RefStr!C4,"DD.MM.YYYY."),"__.__.____.")&amp;" do "&amp;IF(RefStr!F4&lt;&gt;"",TEXT(RefStr!F4,"DD.MM.YYYY."),"__.__.____.")</f>
        <v>u razdoblju 01.01.2017. do 31.12.2017.</v>
      </c>
      <c r="B3" s="436"/>
      <c r="C3" s="436"/>
      <c r="D3" s="436"/>
      <c r="E3" s="436"/>
      <c r="F3" s="436"/>
      <c r="G3" s="436"/>
      <c r="H3" s="436"/>
      <c r="I3" s="455"/>
      <c r="J3" s="422"/>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36297945940; VODOOPSKRBA d.o.o. za javnu vodoopskrbu i odvodnju</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2335</v>
      </c>
      <c r="B11" s="444"/>
      <c r="C11" s="444"/>
      <c r="D11" s="444"/>
      <c r="E11" s="444"/>
      <c r="F11" s="444"/>
      <c r="G11" s="19">
        <v>3</v>
      </c>
      <c r="H11" s="23"/>
      <c r="I11" s="126"/>
      <c r="J11" s="126"/>
    </row>
    <row r="12" spans="1:10" s="2" customFormat="1" ht="24.75" customHeight="1">
      <c r="A12" s="444" t="s">
        <v>2910</v>
      </c>
      <c r="B12" s="444"/>
      <c r="C12" s="444"/>
      <c r="D12" s="444"/>
      <c r="E12" s="444"/>
      <c r="F12" s="444"/>
      <c r="G12" s="19">
        <v>4</v>
      </c>
      <c r="H12" s="23"/>
      <c r="I12" s="126"/>
      <c r="J12" s="126"/>
    </row>
    <row r="13" spans="1:10" s="2" customFormat="1" ht="24.75" customHeight="1">
      <c r="A13" s="444" t="s">
        <v>2911</v>
      </c>
      <c r="B13" s="444"/>
      <c r="C13" s="444"/>
      <c r="D13" s="444"/>
      <c r="E13" s="444"/>
      <c r="F13" s="444"/>
      <c r="G13" s="19">
        <v>5</v>
      </c>
      <c r="H13" s="23"/>
      <c r="I13" s="126"/>
      <c r="J13" s="126"/>
    </row>
    <row r="14" spans="1:12" s="2" customFormat="1" ht="13.5" customHeight="1">
      <c r="A14" s="444" t="s">
        <v>2336</v>
      </c>
      <c r="B14" s="444"/>
      <c r="C14" s="444"/>
      <c r="D14" s="444"/>
      <c r="E14" s="444"/>
      <c r="F14" s="444"/>
      <c r="G14" s="19">
        <v>6</v>
      </c>
      <c r="H14" s="23"/>
      <c r="I14" s="126"/>
      <c r="J14" s="126"/>
      <c r="L14" s="73"/>
    </row>
    <row r="15" spans="1:10" s="2" customFormat="1" ht="13.5" customHeight="1">
      <c r="A15" s="444" t="s">
        <v>2337</v>
      </c>
      <c r="B15" s="444"/>
      <c r="C15" s="444"/>
      <c r="D15" s="444"/>
      <c r="E15" s="444"/>
      <c r="F15" s="444"/>
      <c r="G15" s="19">
        <v>7</v>
      </c>
      <c r="H15" s="23"/>
      <c r="I15" s="126"/>
      <c r="J15" s="126"/>
    </row>
    <row r="16" spans="1:10" s="2" customFormat="1" ht="13.5" customHeight="1">
      <c r="A16" s="444" t="s">
        <v>2338</v>
      </c>
      <c r="B16" s="444"/>
      <c r="C16" s="444"/>
      <c r="D16" s="444"/>
      <c r="E16" s="444"/>
      <c r="F16" s="444"/>
      <c r="G16" s="19">
        <v>8</v>
      </c>
      <c r="H16" s="23"/>
      <c r="I16" s="126"/>
      <c r="J16" s="126"/>
    </row>
    <row r="17" spans="1:10" s="2" customFormat="1" ht="13.5" customHeight="1">
      <c r="A17" s="444" t="s">
        <v>2339</v>
      </c>
      <c r="B17" s="444"/>
      <c r="C17" s="444"/>
      <c r="D17" s="444"/>
      <c r="E17" s="444"/>
      <c r="F17" s="444"/>
      <c r="G17" s="19">
        <v>9</v>
      </c>
      <c r="H17" s="23"/>
      <c r="I17" s="126"/>
      <c r="J17" s="126"/>
    </row>
    <row r="18" spans="1:10" s="2" customFormat="1" ht="13.5" customHeight="1">
      <c r="A18" s="444" t="s">
        <v>2909</v>
      </c>
      <c r="B18" s="444"/>
      <c r="C18" s="444"/>
      <c r="D18" s="444"/>
      <c r="E18" s="444"/>
      <c r="F18" s="444"/>
      <c r="G18" s="19">
        <v>10</v>
      </c>
      <c r="H18" s="23"/>
      <c r="I18" s="126"/>
      <c r="J18" s="126"/>
    </row>
    <row r="19" spans="1:14" s="2" customFormat="1" ht="24.75" customHeight="1">
      <c r="A19" s="406" t="s">
        <v>2908</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06" t="s">
        <v>2524</v>
      </c>
      <c r="B25" s="406"/>
      <c r="C25" s="406"/>
      <c r="D25" s="406"/>
      <c r="E25" s="406"/>
      <c r="F25" s="406"/>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06" t="s">
        <v>2523</v>
      </c>
      <c r="B36" s="406"/>
      <c r="C36" s="406"/>
      <c r="D36" s="406"/>
      <c r="E36" s="406"/>
      <c r="F36" s="406"/>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06" t="s">
        <v>2426</v>
      </c>
      <c r="B42" s="406"/>
      <c r="C42" s="406"/>
      <c r="D42" s="406"/>
      <c r="E42" s="406"/>
      <c r="F42" s="406"/>
      <c r="G42" s="19">
        <v>33</v>
      </c>
      <c r="H42" s="23"/>
      <c r="I42" s="86">
        <f>SUM(I37:I41)</f>
        <v>0</v>
      </c>
      <c r="J42" s="86">
        <f>SUM(J37:J41)</f>
        <v>0</v>
      </c>
    </row>
    <row r="43" spans="1:10" s="2" customFormat="1" ht="13.5" customHeight="1">
      <c r="A43" s="449" t="s">
        <v>2511</v>
      </c>
      <c r="B43" s="449"/>
      <c r="C43" s="449"/>
      <c r="D43" s="449"/>
      <c r="E43" s="449"/>
      <c r="F43" s="449"/>
      <c r="G43" s="21">
        <v>34</v>
      </c>
      <c r="H43" s="24"/>
      <c r="I43" s="87">
        <f>I36+I42</f>
        <v>0</v>
      </c>
      <c r="J43" s="87">
        <f>J36+J42</f>
        <v>0</v>
      </c>
    </row>
    <row r="44" spans="1:10" s="2" customFormat="1" ht="15" customHeight="1">
      <c r="A44" s="438" t="s">
        <v>2427</v>
      </c>
      <c r="B44" s="439"/>
      <c r="C44" s="439"/>
      <c r="D44" s="439"/>
      <c r="E44" s="439"/>
      <c r="F44" s="439"/>
      <c r="G44" s="439"/>
      <c r="H44" s="439"/>
      <c r="I44" s="439"/>
      <c r="J44" s="440"/>
    </row>
    <row r="45" spans="1:10" s="2" customFormat="1" ht="13.5" customHeight="1">
      <c r="A45" s="441" t="s">
        <v>2430</v>
      </c>
      <c r="B45" s="441"/>
      <c r="C45" s="441"/>
      <c r="D45" s="441"/>
      <c r="E45" s="441"/>
      <c r="F45" s="441"/>
      <c r="G45" s="92">
        <v>35</v>
      </c>
      <c r="H45" s="124"/>
      <c r="I45" s="94"/>
      <c r="J45" s="94"/>
    </row>
    <row r="46" spans="1:10" s="2" customFormat="1" ht="13.5" customHeight="1">
      <c r="A46" s="403" t="s">
        <v>2431</v>
      </c>
      <c r="B46" s="403"/>
      <c r="C46" s="403"/>
      <c r="D46" s="403"/>
      <c r="E46" s="403"/>
      <c r="F46" s="403"/>
      <c r="G46" s="19">
        <v>36</v>
      </c>
      <c r="H46" s="23"/>
      <c r="I46" s="77"/>
      <c r="J46" s="77"/>
    </row>
    <row r="47" spans="1:10" s="2" customFormat="1" ht="13.5" customHeight="1">
      <c r="A47" s="403" t="s">
        <v>2432</v>
      </c>
      <c r="B47" s="403"/>
      <c r="C47" s="403"/>
      <c r="D47" s="403"/>
      <c r="E47" s="403"/>
      <c r="F47" s="403"/>
      <c r="G47" s="19">
        <v>37</v>
      </c>
      <c r="H47" s="23"/>
      <c r="I47" s="77"/>
      <c r="J47" s="77"/>
    </row>
    <row r="48" spans="1:10" s="2" customFormat="1" ht="13.5" customHeight="1">
      <c r="A48" s="403" t="s">
        <v>2433</v>
      </c>
      <c r="B48" s="403"/>
      <c r="C48" s="403"/>
      <c r="D48" s="403"/>
      <c r="E48" s="403"/>
      <c r="F48" s="403"/>
      <c r="G48" s="19">
        <v>38</v>
      </c>
      <c r="H48" s="23"/>
      <c r="I48" s="77"/>
      <c r="J48" s="77"/>
    </row>
    <row r="49" spans="1:10" s="2" customFormat="1" ht="13.5" customHeight="1">
      <c r="A49" s="406" t="s">
        <v>2522</v>
      </c>
      <c r="B49" s="406"/>
      <c r="C49" s="406"/>
      <c r="D49" s="406"/>
      <c r="E49" s="406"/>
      <c r="F49" s="406"/>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2912</v>
      </c>
      <c r="B54" s="403"/>
      <c r="C54" s="403"/>
      <c r="D54" s="403"/>
      <c r="E54" s="403"/>
      <c r="F54" s="403"/>
      <c r="G54" s="19">
        <v>44</v>
      </c>
      <c r="H54" s="23"/>
      <c r="I54" s="77"/>
      <c r="J54" s="77"/>
    </row>
    <row r="55" spans="1:10" s="2" customFormat="1" ht="13.5" customHeight="1">
      <c r="A55" s="406" t="s">
        <v>2913</v>
      </c>
      <c r="B55" s="406"/>
      <c r="C55" s="406"/>
      <c r="D55" s="406"/>
      <c r="E55" s="406"/>
      <c r="F55" s="406"/>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2428</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2429</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G1" sqref="G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88" t="s">
        <v>2595</v>
      </c>
      <c r="Q2" s="74">
        <f>IF(OR(MIN(I8:I52)&lt;0,MAX(I8:I52)&gt;0),1,0)</f>
        <v>0</v>
      </c>
      <c r="R2" s="73" t="s">
        <v>2586</v>
      </c>
    </row>
    <row r="3" spans="1:18" s="2" customFormat="1" ht="19.5" customHeight="1" thickBot="1">
      <c r="A3" s="435" t="str">
        <f>"u razdoblju "&amp;IF(RefStr!C4&lt;&gt;"",TEXT(RefStr!C4,"DD.MM.YYYY."),"__.__.____.")&amp;" do "&amp;IF(RefStr!F4&lt;&gt;"",TEXT(RefStr!F4,"DD.MM.YYYY."),"__.__.____.")</f>
        <v>u razdoblju 01.01.2017. do 31.12.2017.</v>
      </c>
      <c r="B3" s="436"/>
      <c r="C3" s="436"/>
      <c r="D3" s="436"/>
      <c r="E3" s="436"/>
      <c r="F3" s="436"/>
      <c r="G3" s="436"/>
      <c r="H3" s="436"/>
      <c r="I3" s="437"/>
      <c r="J3" s="422"/>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36297945940; VODOOPSKRBA d.o.o. za javnu vodoopskrbu i odvodnju</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2527</v>
      </c>
      <c r="B9" s="441"/>
      <c r="C9" s="441"/>
      <c r="D9" s="441"/>
      <c r="E9" s="441"/>
      <c r="F9" s="441"/>
      <c r="G9" s="92">
        <v>1</v>
      </c>
      <c r="H9" s="124"/>
      <c r="I9" s="94"/>
      <c r="J9" s="94"/>
    </row>
    <row r="10" spans="1:10" s="2" customFormat="1" ht="13.5" customHeight="1">
      <c r="A10" s="403" t="s">
        <v>2528</v>
      </c>
      <c r="B10" s="403"/>
      <c r="C10" s="403"/>
      <c r="D10" s="403"/>
      <c r="E10" s="403"/>
      <c r="F10" s="403"/>
      <c r="G10" s="19">
        <v>2</v>
      </c>
      <c r="H10" s="23"/>
      <c r="I10" s="77"/>
      <c r="J10" s="77"/>
    </row>
    <row r="11" spans="1:10" s="2" customFormat="1" ht="13.5" customHeight="1">
      <c r="A11" s="403" t="s">
        <v>2529</v>
      </c>
      <c r="B11" s="403"/>
      <c r="C11" s="403"/>
      <c r="D11" s="403"/>
      <c r="E11" s="403"/>
      <c r="F11" s="403"/>
      <c r="G11" s="19">
        <v>3</v>
      </c>
      <c r="H11" s="23"/>
      <c r="I11" s="77"/>
      <c r="J11" s="77"/>
    </row>
    <row r="12" spans="1:10" s="2" customFormat="1" ht="13.5" customHeight="1">
      <c r="A12" s="403" t="s">
        <v>2530</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06" t="s">
        <v>2525</v>
      </c>
      <c r="B17" s="406"/>
      <c r="C17" s="406"/>
      <c r="D17" s="406"/>
      <c r="E17" s="406"/>
      <c r="F17" s="406"/>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2526</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06" t="s">
        <v>2118</v>
      </c>
      <c r="B28" s="406"/>
      <c r="C28" s="406"/>
      <c r="D28" s="406"/>
      <c r="E28" s="406"/>
      <c r="F28" s="406"/>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06" t="s">
        <v>2119</v>
      </c>
      <c r="B34" s="406"/>
      <c r="C34" s="406"/>
      <c r="D34" s="406"/>
      <c r="E34" s="406"/>
      <c r="F34" s="406"/>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2427</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06" t="s">
        <v>451</v>
      </c>
      <c r="B41" s="406"/>
      <c r="C41" s="406"/>
      <c r="D41" s="406"/>
      <c r="E41" s="406"/>
      <c r="F41" s="406"/>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06" t="s">
        <v>1835</v>
      </c>
      <c r="B47" s="406"/>
      <c r="C47" s="406"/>
      <c r="D47" s="406"/>
      <c r="E47" s="406"/>
      <c r="F47" s="406"/>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2429</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row r="54" ht="12"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H1" sqref="H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81" t="s">
        <v>1703</v>
      </c>
      <c r="B2" s="481"/>
      <c r="C2" s="481"/>
      <c r="D2" s="481"/>
      <c r="E2" s="481"/>
      <c r="F2" s="481"/>
      <c r="G2" s="482"/>
      <c r="H2" s="482"/>
      <c r="I2" s="135"/>
      <c r="J2" s="135"/>
      <c r="K2" s="135"/>
      <c r="L2" s="135"/>
      <c r="M2" s="135"/>
      <c r="N2" s="135"/>
      <c r="O2" s="136"/>
      <c r="P2" s="388" t="s">
        <v>2596</v>
      </c>
      <c r="Q2" s="470"/>
      <c r="R2" s="470"/>
      <c r="S2" s="470"/>
      <c r="T2" s="470"/>
      <c r="U2" s="470"/>
      <c r="V2" s="470"/>
      <c r="W2" s="471"/>
      <c r="X2" s="388" t="s">
        <v>2596</v>
      </c>
      <c r="AA2" s="3">
        <f>IF(OR(MAX(H10:X32)&lt;&gt;0,MIN(H10:X32)&lt;&gt;0),1,0)</f>
        <v>0</v>
      </c>
      <c r="AB2" s="3" t="s">
        <v>2598</v>
      </c>
    </row>
    <row r="3" spans="1:28" s="3" customFormat="1" ht="19.5" customHeight="1" thickBot="1">
      <c r="A3" s="483" t="str">
        <f>"za razdoblje od "&amp;IF(RefStr!C4&lt;&gt;"",TEXT(RefStr!C4,"DD.MM.YYYY."),"__.__.____.")&amp;" do "&amp;IF(RefStr!F4&lt;&gt;"",TEXT(RefStr!F4,"DD.MM.YYYY."),"__.__.____.")</f>
        <v>za razdoblje od 01.01.2017. do 31.12.2017.</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36297945940; VODOOPSKRBA d.o.o. za javnu vodoopskrbu i odvodnju</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2894</v>
      </c>
    </row>
    <row r="6" spans="1:28" s="3" customFormat="1" ht="15" customHeight="1" thickBot="1">
      <c r="A6" s="450" t="s">
        <v>782</v>
      </c>
      <c r="B6" s="465"/>
      <c r="C6" s="465"/>
      <c r="D6" s="465"/>
      <c r="E6" s="465"/>
      <c r="F6" s="465"/>
      <c r="G6" s="451" t="s">
        <v>799</v>
      </c>
      <c r="H6" s="400" t="s">
        <v>1968</v>
      </c>
      <c r="I6" s="451" t="s">
        <v>780</v>
      </c>
      <c r="J6" s="451"/>
      <c r="K6" s="451"/>
      <c r="L6" s="451"/>
      <c r="M6" s="451"/>
      <c r="N6" s="451"/>
      <c r="O6" s="451"/>
      <c r="P6" s="451"/>
      <c r="Q6" s="451"/>
      <c r="R6" s="451"/>
      <c r="S6" s="451"/>
      <c r="T6" s="451"/>
      <c r="U6" s="451"/>
      <c r="V6" s="451"/>
      <c r="W6" s="451" t="s">
        <v>2599</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0</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2562</v>
      </c>
      <c r="B32" s="459"/>
      <c r="C32" s="459"/>
      <c r="D32" s="459"/>
      <c r="E32" s="459"/>
      <c r="F32" s="45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2558</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2559</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2563</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2560</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2244</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2561</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Sabina</cp:lastModifiedBy>
  <cp:lastPrinted>2018-03-29T07:17:19Z</cp:lastPrinted>
  <dcterms:created xsi:type="dcterms:W3CDTF">2008-10-17T11:51:54Z</dcterms:created>
  <dcterms:modified xsi:type="dcterms:W3CDTF">2018-03-29T07:20:01Z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